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885" yWindow="-15" windowWidth="6360" windowHeight="12420" tabRatio="792" firstSheet="1" activeTab="2"/>
  </bookViews>
  <sheets>
    <sheet name="Cover" sheetId="17" r:id="rId1"/>
    <sheet name="Opinion ltr" sheetId="15" r:id="rId2"/>
    <sheet name="Bal Sheet 08.31.12" sheetId="12" r:id="rId3"/>
    <sheet name="N1 Fund bal's 08.31.12" sheetId="14" r:id="rId4"/>
    <sheet name="Combined 08.31.12" sheetId="1" r:id="rId5"/>
    <sheet name="Ananda" sheetId="6" r:id="rId6"/>
    <sheet name="AF Allocation" sheetId="26" r:id="rId7"/>
    <sheet name="CCMA" sheetId="23" r:id="rId8"/>
    <sheet name="General FFCF" sheetId="4" r:id="rId9"/>
    <sheet name="KFCF" sheetId="5" r:id="rId10"/>
    <sheet name="G25 " sheetId="7" r:id="rId11"/>
    <sheet name="Ptr in Focus" sheetId="24" r:id="rId12"/>
    <sheet name="Sleeping Bag Project" sheetId="25" r:id="rId13"/>
  </sheets>
  <definedNames>
    <definedName name="_xlnm.Print_Area" localSheetId="2">'Bal Sheet 08.31.12'!$A$1:$J$42</definedName>
    <definedName name="_xlnm.Print_Area" localSheetId="0">Cover!$A$1:$A$46</definedName>
    <definedName name="_xlnm.Print_Titles" localSheetId="5">Ananda!$A:$C,Ananda!$3:$3</definedName>
    <definedName name="_xlnm.Print_Titles" localSheetId="2">'Bal Sheet 08.31.12'!$A:$E,'Bal Sheet 08.31.12'!$3:$3</definedName>
    <definedName name="_xlnm.Print_Titles" localSheetId="7">CCMA!$A:$C,CCMA!$3:$3</definedName>
    <definedName name="_xlnm.Print_Titles" localSheetId="8">'General FFCF'!$A:$C,'General FFCF'!$3:$3</definedName>
    <definedName name="_xlnm.Print_Titles" localSheetId="9">KFCF!$A:$C,KFCF!$3:$3</definedName>
    <definedName name="_xlnm.Print_Titles" localSheetId="11">'Ptr in Focus'!$A:$C,'Ptr in Focus'!$3:$3</definedName>
    <definedName name="_xlnm.Print_Titles" localSheetId="12">'Sleeping Bag Project'!$A:$C,'Sleeping Bag Project'!$3:$3</definedName>
  </definedNames>
  <calcPr calcId="125725"/>
</workbook>
</file>

<file path=xl/calcChain.xml><?xml version="1.0" encoding="utf-8"?>
<calcChain xmlns="http://schemas.openxmlformats.org/spreadsheetml/2006/main">
  <c r="F22" i="1"/>
  <c r="F36" i="4"/>
  <c r="F38" s="1"/>
  <c r="F28"/>
  <c r="F18"/>
  <c r="F8"/>
  <c r="E8" i="7"/>
  <c r="E5"/>
  <c r="C17" i="14"/>
  <c r="C16"/>
  <c r="H15" i="26" l="1"/>
  <c r="H13"/>
  <c r="H12"/>
  <c r="H11"/>
  <c r="H10"/>
  <c r="H9"/>
  <c r="H8"/>
  <c r="G12"/>
  <c r="G13"/>
  <c r="G15" s="1"/>
  <c r="G3"/>
  <c r="J12" s="1"/>
  <c r="E17" i="14"/>
  <c r="F5" i="5"/>
  <c r="J8" i="26" l="1"/>
  <c r="J9"/>
  <c r="J11"/>
  <c r="J13"/>
  <c r="J10"/>
  <c r="J15"/>
  <c r="C19" i="14"/>
  <c r="G16" i="12"/>
  <c r="G14"/>
  <c r="F21" i="5"/>
  <c r="F19" i="4"/>
  <c r="D23"/>
  <c r="D25" i="5"/>
  <c r="D24"/>
  <c r="D22" i="4"/>
  <c r="G14" i="14"/>
  <c r="E14"/>
  <c r="E19"/>
  <c r="E13"/>
  <c r="F35" i="5"/>
  <c r="F35" i="4"/>
  <c r="F32"/>
  <c r="F14"/>
  <c r="F14" i="5"/>
  <c r="F13"/>
  <c r="F9"/>
  <c r="F6" i="1"/>
  <c r="I14" i="14" l="1"/>
  <c r="F6" i="5"/>
  <c r="E5" i="23"/>
  <c r="G19" i="14" l="1"/>
  <c r="E9" i="7"/>
  <c r="F28" i="1"/>
  <c r="E13" i="24"/>
  <c r="E10" i="25"/>
  <c r="E11" s="1"/>
  <c r="E15" i="24"/>
  <c r="G18" i="14" s="1"/>
  <c r="E6" i="24"/>
  <c r="F17" i="5"/>
  <c r="F34"/>
  <c r="F30"/>
  <c r="F38"/>
  <c r="F36"/>
  <c r="F37"/>
  <c r="F33"/>
  <c r="F32"/>
  <c r="F31"/>
  <c r="F29"/>
  <c r="F28"/>
  <c r="D26"/>
  <c r="D23"/>
  <c r="F20"/>
  <c r="F18"/>
  <c r="F19"/>
  <c r="F15"/>
  <c r="F33" i="4"/>
  <c r="F43" i="1"/>
  <c r="F31" i="4"/>
  <c r="F30"/>
  <c r="F29"/>
  <c r="F27"/>
  <c r="F26"/>
  <c r="F34"/>
  <c r="F45" i="1" s="1"/>
  <c r="F16" i="4"/>
  <c r="F15"/>
  <c r="F46" i="1"/>
  <c r="F35"/>
  <c r="F24"/>
  <c r="E17" i="23"/>
  <c r="F51" i="1"/>
  <c r="F23"/>
  <c r="F17"/>
  <c r="F8" i="5"/>
  <c r="F7"/>
  <c r="F9" i="1"/>
  <c r="E7" i="23"/>
  <c r="E19" s="1"/>
  <c r="F19" i="1"/>
  <c r="E7" i="6"/>
  <c r="E6"/>
  <c r="E5"/>
  <c r="F9" i="4"/>
  <c r="F7"/>
  <c r="F6"/>
  <c r="F5"/>
  <c r="F10" i="1"/>
  <c r="G7" i="12"/>
  <c r="G6"/>
  <c r="F10" i="4" l="1"/>
  <c r="E18" i="14"/>
  <c r="E16" i="24"/>
  <c r="F42" i="1" l="1"/>
  <c r="F7"/>
  <c r="E8" i="6"/>
  <c r="F44" i="1" l="1"/>
  <c r="F39"/>
  <c r="F41"/>
  <c r="F40"/>
  <c r="F38"/>
  <c r="F37"/>
  <c r="F36"/>
  <c r="D33"/>
  <c r="D32"/>
  <c r="D31"/>
  <c r="D30"/>
  <c r="F26"/>
  <c r="F25"/>
  <c r="F21"/>
  <c r="F20"/>
  <c r="F18"/>
  <c r="F13"/>
  <c r="F12"/>
  <c r="F11"/>
  <c r="F8"/>
  <c r="F5"/>
  <c r="F4"/>
  <c r="F3"/>
  <c r="E10" i="7"/>
  <c r="F47" i="1"/>
  <c r="F27" i="5"/>
  <c r="F25" i="4"/>
  <c r="G16" i="14" s="1"/>
  <c r="G8" i="12"/>
  <c r="E16" i="6"/>
  <c r="F10" i="5"/>
  <c r="F41" s="1"/>
  <c r="C20" i="14"/>
  <c r="E16"/>
  <c r="I16" l="1"/>
  <c r="G13"/>
  <c r="F39" i="5"/>
  <c r="G17" i="14" s="1"/>
  <c r="I15"/>
  <c r="F34" i="1"/>
  <c r="F14"/>
  <c r="E20" i="6"/>
  <c r="F48" i="1"/>
  <c r="F50" l="1"/>
  <c r="F52" s="1"/>
  <c r="I19" i="14"/>
  <c r="I13"/>
  <c r="I17" l="1"/>
  <c r="I18"/>
  <c r="G20"/>
  <c r="E20" l="1"/>
  <c r="G17" i="12" l="1"/>
  <c r="I20" i="14"/>
</calcChain>
</file>

<file path=xl/comments1.xml><?xml version="1.0" encoding="utf-8"?>
<comments xmlns="http://schemas.openxmlformats.org/spreadsheetml/2006/main">
  <authors>
    <author>Trujillo</author>
  </authors>
  <commentList>
    <comment ref="F8" authorId="0">
      <text>
        <r>
          <rPr>
            <b/>
            <sz val="8"/>
            <color indexed="81"/>
            <rFont val="Tahoma"/>
            <charset val="1"/>
          </rPr>
          <t>Trujillo:</t>
        </r>
        <r>
          <rPr>
            <sz val="8"/>
            <color indexed="81"/>
            <rFont val="Tahoma"/>
            <charset val="1"/>
          </rPr>
          <t xml:space="preserve">
From G25
</t>
        </r>
      </text>
    </comment>
  </commentList>
</comments>
</file>

<file path=xl/comments2.xml><?xml version="1.0" encoding="utf-8"?>
<comments xmlns="http://schemas.openxmlformats.org/spreadsheetml/2006/main">
  <authors>
    <author>Trujillo</author>
  </authors>
  <commentList>
    <comment ref="E5" authorId="0">
      <text>
        <r>
          <rPr>
            <b/>
            <sz val="8"/>
            <color indexed="81"/>
            <rFont val="Tahoma"/>
            <charset val="1"/>
          </rPr>
          <t>Trujillo:</t>
        </r>
        <r>
          <rPr>
            <sz val="8"/>
            <color indexed="81"/>
            <rFont val="Tahoma"/>
            <charset val="1"/>
          </rPr>
          <t xml:space="preserve">
To general fund
</t>
        </r>
      </text>
    </comment>
    <comment ref="E8" authorId="0">
      <text>
        <r>
          <rPr>
            <b/>
            <sz val="8"/>
            <color indexed="81"/>
            <rFont val="Tahoma"/>
            <charset val="1"/>
          </rPr>
          <t>Trujillo:</t>
        </r>
        <r>
          <rPr>
            <sz val="8"/>
            <color indexed="81"/>
            <rFont val="Tahoma"/>
            <charset val="1"/>
          </rPr>
          <t xml:space="preserve">
To general fund</t>
        </r>
      </text>
    </comment>
  </commentList>
</comments>
</file>

<file path=xl/sharedStrings.xml><?xml version="1.0" encoding="utf-8"?>
<sst xmlns="http://schemas.openxmlformats.org/spreadsheetml/2006/main" count="261" uniqueCount="140">
  <si>
    <t>Contributions</t>
  </si>
  <si>
    <t>Grants</t>
  </si>
  <si>
    <t>Subscriptions &amp; Membership</t>
  </si>
  <si>
    <t xml:space="preserve">Interest </t>
  </si>
  <si>
    <t>Bank Charges</t>
  </si>
  <si>
    <t>Advertising</t>
  </si>
  <si>
    <t>Insurance</t>
  </si>
  <si>
    <t>Miscellaneous</t>
  </si>
  <si>
    <t>Postage</t>
  </si>
  <si>
    <t>Depreciation</t>
  </si>
  <si>
    <t>Rent</t>
  </si>
  <si>
    <t>Travel &amp; Lodging</t>
  </si>
  <si>
    <t>Supplies</t>
  </si>
  <si>
    <t>ASSETS</t>
  </si>
  <si>
    <t>TOTAL ASSETS</t>
  </si>
  <si>
    <t>Liabilities</t>
  </si>
  <si>
    <t>Payroll Taxes Payable</t>
  </si>
  <si>
    <t>$</t>
  </si>
  <si>
    <t>Cash - Foundation Account</t>
  </si>
  <si>
    <t>Scholarships</t>
  </si>
  <si>
    <t>Banquet</t>
  </si>
  <si>
    <t>Fresno Free College Foundation</t>
  </si>
  <si>
    <t>Increases</t>
  </si>
  <si>
    <t>Decreases</t>
  </si>
  <si>
    <t>Ananda</t>
  </si>
  <si>
    <t xml:space="preserve">Totals  </t>
  </si>
  <si>
    <t>Central Mtn. Waters</t>
  </si>
  <si>
    <t>Outside Services</t>
  </si>
  <si>
    <t>Cash and Cash Equivalents</t>
  </si>
  <si>
    <t>LIABILITIES &amp; NET ASSETS</t>
  </si>
  <si>
    <t>Unrestricted Funds</t>
  </si>
  <si>
    <t>TOTAL LIABILITIES &amp; NET ASSETS</t>
  </si>
  <si>
    <t>Net Assets</t>
  </si>
  <si>
    <t>Revenues, Gains, and Other Support</t>
  </si>
  <si>
    <t>Total Revenues, Gains, and Other Support</t>
  </si>
  <si>
    <t>Change in Net Assets</t>
  </si>
  <si>
    <t>Net Assets at Beginning of Year</t>
  </si>
  <si>
    <t>Net Assets at End of Year</t>
  </si>
  <si>
    <t>Net Assets at</t>
  </si>
  <si>
    <t>Expenses</t>
  </si>
  <si>
    <t>Total Expenses</t>
  </si>
  <si>
    <t>Unrestricted</t>
  </si>
  <si>
    <t>Statement of Changes in Net Assets by Fund - Cash Basis</t>
  </si>
  <si>
    <t xml:space="preserve"> </t>
  </si>
  <si>
    <t>ACCOUNTANT’S COMPILATION REPORT</t>
  </si>
  <si>
    <t>To the Board of Directors</t>
  </si>
  <si>
    <t>Fresno, California</t>
  </si>
  <si>
    <t>Sharmayne Sikora</t>
  </si>
  <si>
    <t>Certified Public Accountant</t>
  </si>
  <si>
    <t>FRESNO FREE COLLEGE FOUNDATION</t>
  </si>
  <si>
    <t>Fresno, CA</t>
  </si>
  <si>
    <t>FINANCIAL STATEMENTS</t>
  </si>
  <si>
    <t>WITH</t>
  </si>
  <si>
    <t xml:space="preserve">                                                                                                                                         Clovis, CA 93612</t>
  </si>
  <si>
    <t xml:space="preserve">                                                                                                                                         Phone:  559/291-2700</t>
  </si>
  <si>
    <t xml:space="preserve">                                                                                                                                         Fax :  559/291-3455</t>
  </si>
  <si>
    <r>
      <t>Sharmayne Sikora</t>
    </r>
    <r>
      <rPr>
        <sz val="20"/>
        <rFont val="Times New Roman"/>
        <family val="1"/>
      </rPr>
      <t>______________________________</t>
    </r>
  </si>
  <si>
    <t>Personnel Costs:</t>
  </si>
  <si>
    <t xml:space="preserve">        Total Personnel Costs</t>
  </si>
  <si>
    <t xml:space="preserve">   Health Insurance</t>
  </si>
  <si>
    <t xml:space="preserve">   Payroll Tax</t>
  </si>
  <si>
    <t>Equipment Net of Accumulated Depreciation</t>
  </si>
  <si>
    <t xml:space="preserve">     Certified Public Accountant                                                                                   3100 Willow, Suite 110</t>
  </si>
  <si>
    <t>Events</t>
  </si>
  <si>
    <t>Repairs</t>
  </si>
  <si>
    <t xml:space="preserve">   Salaries &amp; Wages</t>
  </si>
  <si>
    <t>Sleeping Bag Project</t>
  </si>
  <si>
    <t>Partners In Focus</t>
  </si>
  <si>
    <t>Car Donations</t>
  </si>
  <si>
    <t>Merchandise Sales</t>
  </si>
  <si>
    <t>News Stringer</t>
  </si>
  <si>
    <t>Sales Tax</t>
  </si>
  <si>
    <t>Utilities</t>
  </si>
  <si>
    <t>Merchandise</t>
  </si>
  <si>
    <t xml:space="preserve">   Workers Compensation Insurance</t>
  </si>
  <si>
    <t>Sale of Stock</t>
  </si>
  <si>
    <t>Donation</t>
  </si>
  <si>
    <t>Health Insurance</t>
  </si>
  <si>
    <t>Payroll Taxes</t>
  </si>
  <si>
    <t>Salaries &amp; Wages</t>
  </si>
  <si>
    <t>Workers Compensation Insurance</t>
  </si>
  <si>
    <t>Interest</t>
  </si>
  <si>
    <t>Membership</t>
  </si>
  <si>
    <t xml:space="preserve">Banquet </t>
  </si>
  <si>
    <t xml:space="preserve">Insurance </t>
  </si>
  <si>
    <t xml:space="preserve">      Total Personnel Costs</t>
  </si>
  <si>
    <t xml:space="preserve">Postage </t>
  </si>
  <si>
    <t>Printing &amp; Publishing</t>
  </si>
  <si>
    <t xml:space="preserve">Rent </t>
  </si>
  <si>
    <t xml:space="preserve">Repairs </t>
  </si>
  <si>
    <t xml:space="preserve">Sales Tax </t>
  </si>
  <si>
    <t xml:space="preserve">Supplies </t>
  </si>
  <si>
    <t xml:space="preserve">Telephone </t>
  </si>
  <si>
    <t>Subscriptions</t>
  </si>
  <si>
    <t>News Stringer Fund</t>
  </si>
  <si>
    <t>Professional Fees &amp; Memberships</t>
  </si>
  <si>
    <t>Telephone</t>
  </si>
  <si>
    <t>Travel</t>
  </si>
  <si>
    <t>Administrative Fees</t>
  </si>
  <si>
    <t>Other Expense</t>
  </si>
  <si>
    <t>Administrative Fee</t>
  </si>
  <si>
    <t>Scholarship</t>
  </si>
  <si>
    <t>Dividends</t>
  </si>
  <si>
    <t>Aug 31, 2011</t>
  </si>
  <si>
    <t>Studio Supplies</t>
  </si>
  <si>
    <t>Broadcast Satellite Services</t>
  </si>
  <si>
    <t>For the Year Ended August 31, 2012</t>
  </si>
  <si>
    <t>Aug 31, 2012</t>
  </si>
  <si>
    <t>Bank Interst</t>
  </si>
  <si>
    <t xml:space="preserve">Exhibition </t>
  </si>
  <si>
    <t>Exhibition Income</t>
  </si>
  <si>
    <t>Curator</t>
  </si>
  <si>
    <t>Exhibit Design &amp; Prep</t>
  </si>
  <si>
    <t>Shipping</t>
  </si>
  <si>
    <t>Web Design</t>
  </si>
  <si>
    <t>Postage &amp; Shipping</t>
  </si>
  <si>
    <t>Donations</t>
  </si>
  <si>
    <t>August 31, 2012</t>
  </si>
  <si>
    <t>Central Ca Museum of Arts</t>
  </si>
  <si>
    <t>Monthly Scholarships</t>
  </si>
  <si>
    <t>Text Books &amp; Uniforms</t>
  </si>
  <si>
    <t>Vocatinoal Training</t>
  </si>
  <si>
    <t>Other Educational Exp</t>
  </si>
  <si>
    <t>Other Grants to Various</t>
  </si>
  <si>
    <t>Library Grant</t>
  </si>
  <si>
    <t>Wtd Avg</t>
  </si>
  <si>
    <t>Total Funds to AF (US Dollars)</t>
  </si>
  <si>
    <t>Budget Per Samson (Indian Rupees)</t>
  </si>
  <si>
    <t>Converted Amount</t>
  </si>
  <si>
    <t>My responsibility is to conduct the compilation in accordance with Statements on Standards for Accounting and Review Services issued by the American Institute of Certified Public Accountants. The objective of a compilation is to assist management in presenting financial information in the form of financial statements without undertaking to obtain or provide any assurance that there are no material modifications that should be made to the financial statements.</t>
  </si>
  <si>
    <t>Management has elected to omit substantially all of the disclosures ordinarily included in financial statements prepared in accordance with the cash basis of accounting.  If the omitted disclosures were included in the financial statements, they might influence the user’s conclusions about the Organization’s assets, liabilities, net assets, revenues and expenses.  Accordingly, these financial statements are not designed for those who are not informed about such matters.</t>
  </si>
  <si>
    <t>I have compiled the accompanying statement of assets, liabilities, and net assets – cash basis of Fresno Free College Foundation as of August 31, 2012, and the related statement of revenues, expenses, and other changes in net assets – cash basis, statement of changes in net assets by fund – cash Basis and the additional information of detail statements of revenues, expenses, and other changes in net assets – cash basis for each fund for the year then ended I have not audited or reviewed the accompanying financial statements and, accordingly, do not express an opinion or provide any assurance about whether the financial statements are in accordance with the cash basis of accounting.</t>
  </si>
  <si>
    <t>Management is responsible for the preparation and fair presentation of the financial statements in accordance with the cash basis of accounting and for designing, implementing, and maintaining internal control relevant to the preparation and fair presentation of the financial statements.</t>
  </si>
  <si>
    <t>* Note</t>
  </si>
  <si>
    <t>General Fund*</t>
  </si>
  <si>
    <t>KFCF*</t>
  </si>
  <si>
    <t xml:space="preserve">An entry of $345,100 was transferred from KFCF's Unrestricted Net Assets at </t>
  </si>
  <si>
    <t xml:space="preserve">August 31, 2011 to the General Fund unrestricted Net Assets at </t>
  </si>
  <si>
    <t>August 31, 2011 in order to better reflect the actual balances of the funds.</t>
  </si>
  <si>
    <t>NOT A FFCF FUND MOVED CONTRIBUTIONS AND DONATIONS TO GENERAL FUND</t>
  </si>
</sst>
</file>

<file path=xl/styles.xml><?xml version="1.0" encoding="utf-8"?>
<styleSheet xmlns="http://schemas.openxmlformats.org/spreadsheetml/2006/main">
  <numFmts count="4">
    <numFmt numFmtId="43" formatCode="_(* #,##0.00_);_(* \(#,##0.00\);_(* &quot;-&quot;??_);_(@_)"/>
    <numFmt numFmtId="164" formatCode="#,##0.00;\-#,##0.00"/>
    <numFmt numFmtId="165" formatCode="[$-409]mmmm\ d\,\ yyyy;@"/>
    <numFmt numFmtId="166" formatCode="_(* #,##0_);_(* \(#,##0\);_(* &quot;-&quot;??_);_(@_)"/>
  </numFmts>
  <fonts count="22">
    <font>
      <sz val="10"/>
      <name val="Arial"/>
    </font>
    <font>
      <sz val="10"/>
      <name val="Times New Roman"/>
      <family val="1"/>
    </font>
    <font>
      <b/>
      <sz val="10"/>
      <color indexed="8"/>
      <name val="Times New Roman"/>
      <family val="1"/>
    </font>
    <font>
      <sz val="10"/>
      <color indexed="8"/>
      <name val="Times New Roman"/>
      <family val="1"/>
    </font>
    <font>
      <b/>
      <sz val="14"/>
      <name val="Times New Roman"/>
      <family val="1"/>
    </font>
    <font>
      <b/>
      <u/>
      <sz val="10"/>
      <name val="Times New Roman"/>
      <family val="1"/>
    </font>
    <font>
      <b/>
      <sz val="10"/>
      <name val="Times New Roman"/>
      <family val="1"/>
    </font>
    <font>
      <b/>
      <sz val="11"/>
      <name val="Times New Roman"/>
      <family val="1"/>
    </font>
    <font>
      <i/>
      <sz val="20"/>
      <name val="Times New Roman"/>
      <family val="1"/>
    </font>
    <font>
      <sz val="20"/>
      <name val="Times New Roman"/>
      <family val="1"/>
    </font>
    <font>
      <b/>
      <sz val="20"/>
      <name val="Arial"/>
      <family val="2"/>
    </font>
    <font>
      <b/>
      <sz val="16"/>
      <color indexed="8"/>
      <name val="Times New Roman"/>
      <family val="1"/>
    </font>
    <font>
      <b/>
      <sz val="20"/>
      <color indexed="8"/>
      <name val="Times New Roman"/>
      <family val="1"/>
    </font>
    <font>
      <sz val="8"/>
      <name val="Arial"/>
      <family val="2"/>
    </font>
    <font>
      <sz val="10"/>
      <name val="Arial"/>
      <family val="2"/>
    </font>
    <font>
      <sz val="12"/>
      <name val="Arial"/>
      <family val="2"/>
    </font>
    <font>
      <sz val="12"/>
      <name val="Times New Roman"/>
      <family val="1"/>
    </font>
    <font>
      <b/>
      <sz val="10"/>
      <name val="Arial"/>
      <family val="2"/>
    </font>
    <font>
      <sz val="10"/>
      <name val="Arial"/>
      <family val="2"/>
    </font>
    <font>
      <sz val="8"/>
      <color indexed="81"/>
      <name val="Tahoma"/>
      <charset val="1"/>
    </font>
    <font>
      <b/>
      <sz val="8"/>
      <color indexed="81"/>
      <name val="Tahoma"/>
      <charset val="1"/>
    </font>
    <font>
      <sz val="15"/>
      <color indexed="8"/>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14" fillId="0" borderId="0" applyFont="0" applyFill="0" applyBorder="0" applyAlignment="0" applyProtection="0"/>
    <xf numFmtId="0" fontId="14" fillId="0" borderId="0"/>
    <xf numFmtId="9" fontId="18" fillId="0" borderId="0" applyFont="0" applyFill="0" applyBorder="0" applyAlignment="0" applyProtection="0"/>
  </cellStyleXfs>
  <cellXfs count="119">
    <xf numFmtId="0" fontId="0" fillId="0" borderId="0" xfId="0"/>
    <xf numFmtId="0" fontId="1" fillId="0" borderId="0" xfId="0" applyFont="1" applyAlignment="1">
      <alignment horizontal="center"/>
    </xf>
    <xf numFmtId="0" fontId="1" fillId="0" borderId="0" xfId="0" applyFont="1"/>
    <xf numFmtId="0" fontId="1" fillId="0" borderId="0" xfId="0" applyNumberFormat="1" applyFont="1"/>
    <xf numFmtId="49" fontId="2" fillId="0" borderId="0" xfId="0" applyNumberFormat="1" applyFont="1" applyAlignment="1">
      <alignment horizontal="center"/>
    </xf>
    <xf numFmtId="49" fontId="2" fillId="0" borderId="0" xfId="0" applyNumberFormat="1" applyFont="1"/>
    <xf numFmtId="164" fontId="3" fillId="0" borderId="0" xfId="0" applyNumberFormat="1" applyFont="1"/>
    <xf numFmtId="0" fontId="2" fillId="0" borderId="0" xfId="0" applyFont="1"/>
    <xf numFmtId="0" fontId="2" fillId="0" borderId="0" xfId="0" applyNumberFormat="1" applyFont="1"/>
    <xf numFmtId="39" fontId="3" fillId="0" borderId="0" xfId="0" applyNumberFormat="1" applyFont="1"/>
    <xf numFmtId="39" fontId="1" fillId="0" borderId="0" xfId="0" applyNumberFormat="1" applyFont="1"/>
    <xf numFmtId="39" fontId="3" fillId="0" borderId="0" xfId="0" applyNumberFormat="1" applyFont="1" applyBorder="1"/>
    <xf numFmtId="39" fontId="3" fillId="0" borderId="2" xfId="0" applyNumberFormat="1" applyFont="1" applyBorder="1"/>
    <xf numFmtId="39" fontId="2" fillId="0" borderId="3" xfId="0" applyNumberFormat="1" applyFont="1" applyBorder="1"/>
    <xf numFmtId="39" fontId="3" fillId="0" borderId="1" xfId="0" applyNumberFormat="1" applyFont="1" applyBorder="1"/>
    <xf numFmtId="39" fontId="2" fillId="0" borderId="0" xfId="0" applyNumberFormat="1" applyFont="1" applyBorder="1"/>
    <xf numFmtId="0" fontId="5" fillId="0" borderId="0" xfId="0" applyFont="1"/>
    <xf numFmtId="22" fontId="1" fillId="0" borderId="0" xfId="0" applyNumberFormat="1" applyFont="1"/>
    <xf numFmtId="15" fontId="4" fillId="0" borderId="0" xfId="0" applyNumberFormat="1" applyFont="1"/>
    <xf numFmtId="0" fontId="1" fillId="0" borderId="0" xfId="0" applyFont="1" applyBorder="1"/>
    <xf numFmtId="39" fontId="1" fillId="0" borderId="3" xfId="0" applyNumberFormat="1" applyFont="1" applyBorder="1"/>
    <xf numFmtId="39" fontId="1" fillId="0" borderId="0" xfId="0" applyNumberFormat="1" applyFont="1" applyBorder="1"/>
    <xf numFmtId="0" fontId="1" fillId="0" borderId="0" xfId="0" applyFont="1" applyBorder="1" applyAlignment="1">
      <alignment horizontal="center"/>
    </xf>
    <xf numFmtId="39" fontId="1" fillId="0" borderId="0" xfId="0" applyNumberFormat="1" applyFont="1" applyBorder="1" applyAlignment="1">
      <alignment horizontal="right"/>
    </xf>
    <xf numFmtId="0" fontId="6" fillId="0" borderId="0" xfId="0" applyFont="1"/>
    <xf numFmtId="0" fontId="6" fillId="0" borderId="0" xfId="0" applyFont="1" applyAlignment="1">
      <alignment horizontal="right"/>
    </xf>
    <xf numFmtId="0" fontId="6" fillId="0" borderId="0" xfId="0" applyFont="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0" xfId="0" applyFont="1" applyAlignment="1"/>
    <xf numFmtId="15" fontId="6" fillId="0" borderId="1" xfId="0" quotePrefix="1" applyNumberFormat="1" applyFont="1" applyBorder="1" applyAlignment="1">
      <alignment horizontal="center"/>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15" fontId="0" fillId="0" borderId="0" xfId="0" applyNumberFormat="1" applyAlignment="1">
      <alignment horizontal="left"/>
    </xf>
    <xf numFmtId="15" fontId="0" fillId="0" borderId="0" xfId="0" quotePrefix="1" applyNumberFormat="1" applyAlignment="1">
      <alignment horizontal="center"/>
    </xf>
    <xf numFmtId="0" fontId="10" fillId="0" borderId="0" xfId="0" applyFont="1" applyAlignment="1">
      <alignment horizontal="left"/>
    </xf>
    <xf numFmtId="0" fontId="11" fillId="0" borderId="0" xfId="0" applyNumberFormat="1" applyFont="1"/>
    <xf numFmtId="0" fontId="12" fillId="0" borderId="0" xfId="0" applyNumberFormat="1" applyFont="1"/>
    <xf numFmtId="39" fontId="2" fillId="0" borderId="0" xfId="0" applyNumberFormat="1" applyFont="1"/>
    <xf numFmtId="49" fontId="3" fillId="0" borderId="0" xfId="0" applyNumberFormat="1" applyFont="1"/>
    <xf numFmtId="49" fontId="2" fillId="0" borderId="0" xfId="0" applyNumberFormat="1" applyFont="1" applyBorder="1" applyAlignment="1">
      <alignment horizontal="center"/>
    </xf>
    <xf numFmtId="39" fontId="2" fillId="0" borderId="4" xfId="0" applyNumberFormat="1" applyFont="1" applyBorder="1"/>
    <xf numFmtId="39" fontId="3" fillId="0" borderId="4" xfId="0" applyNumberFormat="1" applyFont="1" applyBorder="1"/>
    <xf numFmtId="39" fontId="3" fillId="0" borderId="0" xfId="0" applyNumberFormat="1" applyFont="1" applyFill="1"/>
    <xf numFmtId="39" fontId="3" fillId="0" borderId="1" xfId="0" applyNumberFormat="1" applyFont="1" applyFill="1" applyBorder="1"/>
    <xf numFmtId="0" fontId="2" fillId="0" borderId="0" xfId="0" applyNumberFormat="1" applyFont="1" applyAlignment="1">
      <alignment horizontal="center"/>
    </xf>
    <xf numFmtId="0" fontId="3" fillId="0" borderId="0" xfId="0" applyNumberFormat="1" applyFont="1"/>
    <xf numFmtId="39" fontId="3" fillId="0" borderId="1" xfId="0" applyNumberFormat="1" applyFont="1" applyBorder="1" applyAlignment="1">
      <alignment horizontal="right"/>
    </xf>
    <xf numFmtId="43" fontId="3" fillId="0" borderId="0" xfId="1" applyFont="1"/>
    <xf numFmtId="49" fontId="3" fillId="0" borderId="0" xfId="0" applyNumberFormat="1" applyFont="1" applyAlignment="1">
      <alignment horizontal="left" indent="2"/>
    </xf>
    <xf numFmtId="49" fontId="3" fillId="0" borderId="0" xfId="0" applyNumberFormat="1" applyFont="1" applyBorder="1" applyAlignment="1">
      <alignment horizontal="center"/>
    </xf>
    <xf numFmtId="49" fontId="3" fillId="0" borderId="0" xfId="0" applyNumberFormat="1" applyFont="1" applyAlignment="1">
      <alignment horizontal="center"/>
    </xf>
    <xf numFmtId="0" fontId="3" fillId="0" borderId="0" xfId="0" applyNumberFormat="1" applyFont="1" applyAlignment="1">
      <alignment horizontal="center"/>
    </xf>
    <xf numFmtId="39" fontId="3" fillId="0" borderId="5" xfId="0" applyNumberFormat="1" applyFont="1" applyBorder="1"/>
    <xf numFmtId="0" fontId="15" fillId="0" borderId="0" xfId="0" applyFont="1" applyAlignment="1">
      <alignment horizontal="center"/>
    </xf>
    <xf numFmtId="0" fontId="16" fillId="0" borderId="0" xfId="0" applyFont="1" applyAlignment="1">
      <alignment horizontal="center"/>
    </xf>
    <xf numFmtId="15" fontId="16" fillId="0" borderId="0" xfId="0" quotePrefix="1" applyNumberFormat="1" applyFont="1" applyAlignment="1">
      <alignment horizontal="center"/>
    </xf>
    <xf numFmtId="0" fontId="15" fillId="0" borderId="0" xfId="0" applyFont="1"/>
    <xf numFmtId="0" fontId="14" fillId="0" borderId="0" xfId="0" applyFont="1" applyAlignment="1">
      <alignment horizontal="left" wrapText="1"/>
    </xf>
    <xf numFmtId="43" fontId="1" fillId="0" borderId="0" xfId="1" applyFont="1"/>
    <xf numFmtId="0" fontId="14" fillId="0" borderId="0" xfId="0" applyFont="1"/>
    <xf numFmtId="49" fontId="2" fillId="0" borderId="0" xfId="0" applyNumberFormat="1" applyFont="1" applyFill="1"/>
    <xf numFmtId="0" fontId="7" fillId="0" borderId="0" xfId="0" applyFont="1" applyAlignment="1">
      <alignment horizontal="center"/>
    </xf>
    <xf numFmtId="0" fontId="7" fillId="0" borderId="0" xfId="0" applyFont="1" applyAlignment="1">
      <alignment horizontal="right"/>
    </xf>
    <xf numFmtId="0" fontId="1" fillId="0" borderId="0" xfId="0" applyFont="1" applyAlignment="1">
      <alignment horizontal="right"/>
    </xf>
    <xf numFmtId="0" fontId="6" fillId="0" borderId="1" xfId="0" applyFont="1" applyBorder="1" applyAlignment="1">
      <alignment horizontal="right"/>
    </xf>
    <xf numFmtId="39" fontId="1" fillId="0" borderId="0" xfId="0" applyNumberFormat="1" applyFont="1" applyAlignment="1">
      <alignment horizontal="right"/>
    </xf>
    <xf numFmtId="0" fontId="1" fillId="0" borderId="0" xfId="0" applyFont="1" applyBorder="1" applyAlignment="1">
      <alignment horizontal="right"/>
    </xf>
    <xf numFmtId="0" fontId="6" fillId="0" borderId="0" xfId="0" applyFont="1" applyBorder="1" applyAlignment="1">
      <alignment horizontal="right"/>
    </xf>
    <xf numFmtId="15" fontId="6" fillId="0" borderId="1" xfId="0" quotePrefix="1" applyNumberFormat="1" applyFont="1" applyBorder="1" applyAlignment="1">
      <alignment horizontal="right"/>
    </xf>
    <xf numFmtId="0" fontId="5" fillId="0" borderId="0" xfId="0" applyFont="1" applyAlignment="1">
      <alignment horizontal="right"/>
    </xf>
    <xf numFmtId="15" fontId="4" fillId="0" borderId="0" xfId="0" applyNumberFormat="1" applyFont="1" applyAlignment="1">
      <alignment horizontal="right"/>
    </xf>
    <xf numFmtId="165" fontId="0" fillId="0" borderId="0" xfId="0" applyNumberFormat="1" applyAlignment="1">
      <alignment horizontal="left"/>
    </xf>
    <xf numFmtId="0" fontId="2" fillId="0" borderId="0" xfId="0" applyNumberFormat="1" applyFont="1" applyFill="1"/>
    <xf numFmtId="0" fontId="3" fillId="0" borderId="0" xfId="0" applyNumberFormat="1" applyFont="1" applyFill="1" applyAlignment="1">
      <alignment horizontal="center"/>
    </xf>
    <xf numFmtId="0" fontId="1" fillId="0" borderId="0" xfId="0" applyNumberFormat="1" applyFont="1" applyFill="1"/>
    <xf numFmtId="49" fontId="2" fillId="0" borderId="0" xfId="0" applyNumberFormat="1" applyFont="1" applyFill="1" applyAlignment="1">
      <alignment horizontal="center"/>
    </xf>
    <xf numFmtId="49" fontId="3" fillId="0" borderId="0" xfId="0" applyNumberFormat="1" applyFont="1" applyFill="1" applyAlignment="1">
      <alignment horizontal="center"/>
    </xf>
    <xf numFmtId="49" fontId="2" fillId="0" borderId="0" xfId="0" applyNumberFormat="1" applyFont="1" applyFill="1" applyBorder="1" applyAlignment="1">
      <alignment horizontal="center"/>
    </xf>
    <xf numFmtId="39" fontId="3" fillId="0" borderId="2" xfId="0" applyNumberFormat="1" applyFont="1" applyFill="1" applyBorder="1"/>
    <xf numFmtId="39" fontId="3" fillId="0" borderId="0" xfId="0" applyNumberFormat="1" applyFont="1" applyFill="1" applyAlignment="1">
      <alignment horizontal="center"/>
    </xf>
    <xf numFmtId="39" fontId="3" fillId="0" borderId="0" xfId="0" applyNumberFormat="1" applyFont="1" applyFill="1" applyBorder="1" applyAlignment="1">
      <alignment horizontal="center"/>
    </xf>
    <xf numFmtId="39" fontId="3" fillId="0" borderId="1" xfId="0" applyNumberFormat="1" applyFont="1" applyFill="1" applyBorder="1" applyAlignment="1">
      <alignment horizontal="right"/>
    </xf>
    <xf numFmtId="49" fontId="3" fillId="0" borderId="0" xfId="0" applyNumberFormat="1" applyFont="1" applyFill="1"/>
    <xf numFmtId="39" fontId="1" fillId="0" borderId="0" xfId="0" applyNumberFormat="1" applyFont="1" applyFill="1"/>
    <xf numFmtId="0" fontId="2" fillId="0" borderId="0" xfId="2" applyNumberFormat="1" applyFont="1"/>
    <xf numFmtId="0" fontId="12" fillId="0" borderId="0" xfId="2" applyNumberFormat="1" applyFont="1"/>
    <xf numFmtId="0" fontId="3" fillId="0" borderId="0" xfId="2" applyNumberFormat="1" applyFont="1" applyAlignment="1">
      <alignment horizontal="center"/>
    </xf>
    <xf numFmtId="0" fontId="1" fillId="0" borderId="0" xfId="2" applyNumberFormat="1" applyFont="1"/>
    <xf numFmtId="0" fontId="1" fillId="0" borderId="0" xfId="2" applyFont="1"/>
    <xf numFmtId="49" fontId="2" fillId="0" borderId="0" xfId="2" applyNumberFormat="1" applyFont="1" applyAlignment="1">
      <alignment horizontal="center"/>
    </xf>
    <xf numFmtId="49" fontId="3" fillId="0" borderId="0" xfId="2" applyNumberFormat="1" applyFont="1" applyAlignment="1">
      <alignment horizontal="center"/>
    </xf>
    <xf numFmtId="49" fontId="2" fillId="0" borderId="0" xfId="2" applyNumberFormat="1" applyFont="1" applyBorder="1" applyAlignment="1">
      <alignment horizontal="center"/>
    </xf>
    <xf numFmtId="0" fontId="1" fillId="0" borderId="0" xfId="2" applyFont="1" applyAlignment="1">
      <alignment horizontal="center"/>
    </xf>
    <xf numFmtId="49" fontId="2" fillId="0" borderId="0" xfId="2" applyNumberFormat="1" applyFont="1"/>
    <xf numFmtId="164" fontId="3" fillId="0" borderId="0" xfId="2" applyNumberFormat="1" applyFont="1"/>
    <xf numFmtId="164" fontId="3" fillId="0" borderId="0" xfId="2" applyNumberFormat="1" applyFont="1" applyBorder="1"/>
    <xf numFmtId="164" fontId="3" fillId="0" borderId="1" xfId="2" applyNumberFormat="1" applyFont="1" applyBorder="1"/>
    <xf numFmtId="49" fontId="2" fillId="0" borderId="0" xfId="2" applyNumberFormat="1" applyFont="1" applyBorder="1"/>
    <xf numFmtId="49" fontId="3" fillId="0" borderId="0" xfId="2" applyNumberFormat="1" applyFont="1" applyBorder="1" applyAlignment="1">
      <alignment horizontal="center"/>
    </xf>
    <xf numFmtId="164" fontId="3" fillId="0" borderId="2" xfId="2" applyNumberFormat="1" applyFont="1" applyBorder="1"/>
    <xf numFmtId="0" fontId="2" fillId="0" borderId="0" xfId="2" applyFont="1"/>
    <xf numFmtId="49" fontId="2" fillId="0" borderId="0" xfId="2" applyNumberFormat="1" applyFont="1" applyFill="1"/>
    <xf numFmtId="43" fontId="3" fillId="0" borderId="4" xfId="1" applyFont="1" applyBorder="1"/>
    <xf numFmtId="166" fontId="0" fillId="0" borderId="0" xfId="1" applyNumberFormat="1" applyFont="1"/>
    <xf numFmtId="39" fontId="3" fillId="0" borderId="4" xfId="0" applyNumberFormat="1" applyFont="1" applyFill="1" applyBorder="1"/>
    <xf numFmtId="39" fontId="3" fillId="0" borderId="0" xfId="0" applyNumberFormat="1" applyFont="1" applyFill="1" applyBorder="1"/>
    <xf numFmtId="166" fontId="0" fillId="0" borderId="1" xfId="1" applyNumberFormat="1" applyFont="1" applyBorder="1"/>
    <xf numFmtId="166" fontId="0" fillId="0" borderId="0" xfId="1" applyNumberFormat="1" applyFont="1" applyBorder="1"/>
    <xf numFmtId="9" fontId="0" fillId="0" borderId="0" xfId="3" applyFont="1"/>
    <xf numFmtId="9" fontId="0" fillId="0" borderId="0" xfId="3" applyNumberFormat="1" applyFont="1"/>
    <xf numFmtId="9" fontId="17" fillId="0" borderId="0" xfId="3" applyFont="1" applyAlignment="1">
      <alignment horizontal="center"/>
    </xf>
    <xf numFmtId="9" fontId="17" fillId="0" borderId="1" xfId="3" applyFont="1" applyBorder="1" applyAlignment="1">
      <alignment horizontal="center"/>
    </xf>
    <xf numFmtId="9" fontId="0" fillId="0" borderId="1" xfId="3" applyNumberFormat="1" applyFont="1" applyBorder="1"/>
    <xf numFmtId="0" fontId="21" fillId="0" borderId="0" xfId="0" applyNumberFormat="1" applyFont="1" applyAlignment="1">
      <alignment horizontal="left"/>
    </xf>
    <xf numFmtId="0" fontId="7" fillId="0" borderId="0" xfId="0" applyFont="1" applyAlignment="1">
      <alignment horizontal="center"/>
    </xf>
    <xf numFmtId="0" fontId="4" fillId="0" borderId="0" xfId="0" applyFont="1" applyAlignment="1">
      <alignment horizontal="center"/>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7"/>
  <sheetViews>
    <sheetView zoomScaleNormal="100" workbookViewId="0">
      <selection activeCell="E28" sqref="E28"/>
    </sheetView>
  </sheetViews>
  <sheetFormatPr defaultRowHeight="12.75"/>
  <cols>
    <col min="1" max="1" width="104.7109375" customWidth="1"/>
  </cols>
  <sheetData>
    <row r="1" spans="1:1">
      <c r="A1" s="32"/>
    </row>
    <row r="2" spans="1:1">
      <c r="A2" s="32"/>
    </row>
    <row r="3" spans="1:1">
      <c r="A3" s="32"/>
    </row>
    <row r="4" spans="1:1">
      <c r="A4" s="32"/>
    </row>
    <row r="5" spans="1:1">
      <c r="A5" s="32"/>
    </row>
    <row r="6" spans="1:1">
      <c r="A6" s="32"/>
    </row>
    <row r="7" spans="1:1">
      <c r="A7" s="32"/>
    </row>
    <row r="8" spans="1:1">
      <c r="A8" s="32"/>
    </row>
    <row r="9" spans="1:1" ht="26.25">
      <c r="A9" s="37"/>
    </row>
    <row r="10" spans="1:1">
      <c r="A10" s="32"/>
    </row>
    <row r="11" spans="1:1" ht="15">
      <c r="A11" s="56"/>
    </row>
    <row r="12" spans="1:1" ht="15">
      <c r="A12" s="56"/>
    </row>
    <row r="13" spans="1:1" ht="15">
      <c r="A13" s="56"/>
    </row>
    <row r="14" spans="1:1" ht="15.75">
      <c r="A14" s="57" t="s">
        <v>49</v>
      </c>
    </row>
    <row r="15" spans="1:1" ht="15.75">
      <c r="A15" s="57" t="s">
        <v>50</v>
      </c>
    </row>
    <row r="16" spans="1:1" ht="15.75">
      <c r="A16" s="57"/>
    </row>
    <row r="17" spans="1:1" ht="15.75">
      <c r="A17" s="57" t="s">
        <v>51</v>
      </c>
    </row>
    <row r="18" spans="1:1" ht="15.75">
      <c r="A18" s="57" t="s">
        <v>43</v>
      </c>
    </row>
    <row r="19" spans="1:1" ht="15.75">
      <c r="A19" s="57" t="s">
        <v>52</v>
      </c>
    </row>
    <row r="20" spans="1:1" ht="15.75">
      <c r="A20" s="57"/>
    </row>
    <row r="21" spans="1:1" ht="15.75">
      <c r="A21" s="57" t="s">
        <v>44</v>
      </c>
    </row>
    <row r="22" spans="1:1" ht="15.75">
      <c r="A22" s="57"/>
    </row>
    <row r="23" spans="1:1" ht="15.75">
      <c r="A23" s="57"/>
    </row>
    <row r="24" spans="1:1" ht="15.75">
      <c r="A24" s="58" t="s">
        <v>117</v>
      </c>
    </row>
    <row r="25" spans="1:1" ht="15">
      <c r="A25" s="56"/>
    </row>
    <row r="26" spans="1:1" ht="15">
      <c r="A26" s="56"/>
    </row>
    <row r="27" spans="1:1" ht="15">
      <c r="A27" s="59"/>
    </row>
  </sheetData>
  <sheetProtection selectLockedCells="1" selectUnlockedCells="1"/>
  <phoneticPr fontId="13"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2:H52"/>
  <sheetViews>
    <sheetView zoomScaleNormal="100" workbookViewId="0">
      <selection activeCell="F6" sqref="F6"/>
    </sheetView>
  </sheetViews>
  <sheetFormatPr defaultRowHeight="12.75"/>
  <cols>
    <col min="1" max="2" width="3" style="8" customWidth="1"/>
    <col min="3" max="3" width="34.140625" style="8" customWidth="1"/>
    <col min="4" max="4" width="10.85546875" style="75" customWidth="1"/>
    <col min="5" max="5" width="3.42578125" style="76" customWidth="1"/>
    <col min="6" max="6" width="10.7109375" style="77" customWidth="1"/>
    <col min="7" max="16384" width="9.140625" style="2"/>
  </cols>
  <sheetData>
    <row r="2" spans="1:8" ht="3.75" customHeight="1">
      <c r="B2" s="39"/>
    </row>
    <row r="3" spans="1:8" s="1" customFormat="1" ht="3.75" customHeight="1">
      <c r="A3" s="4"/>
      <c r="B3" s="4"/>
      <c r="C3" s="4"/>
      <c r="D3" s="78"/>
      <c r="E3" s="79"/>
      <c r="F3" s="80"/>
    </row>
    <row r="4" spans="1:8">
      <c r="A4" s="5"/>
      <c r="B4" s="5" t="s">
        <v>33</v>
      </c>
      <c r="C4" s="5"/>
      <c r="D4" s="63"/>
      <c r="E4" s="79"/>
      <c r="F4" s="45"/>
    </row>
    <row r="5" spans="1:8">
      <c r="A5" s="5"/>
      <c r="B5" s="5"/>
      <c r="C5" s="5" t="s">
        <v>68</v>
      </c>
      <c r="D5" s="63"/>
      <c r="E5" s="79" t="s">
        <v>17</v>
      </c>
      <c r="F5" s="45">
        <f>5018+900</f>
        <v>5918</v>
      </c>
    </row>
    <row r="6" spans="1:8">
      <c r="A6" s="5"/>
      <c r="B6" s="5"/>
      <c r="C6" s="5" t="s">
        <v>63</v>
      </c>
      <c r="D6" s="63"/>
      <c r="E6" s="79"/>
      <c r="F6" s="45">
        <f>5658.55+50</f>
        <v>5708.55</v>
      </c>
    </row>
    <row r="7" spans="1:8">
      <c r="A7" s="5"/>
      <c r="B7" s="5"/>
      <c r="C7" s="5" t="s">
        <v>69</v>
      </c>
      <c r="D7" s="63"/>
      <c r="E7" s="79"/>
      <c r="F7" s="45">
        <f>539.75</f>
        <v>539.75</v>
      </c>
    </row>
    <row r="8" spans="1:8">
      <c r="A8" s="5"/>
      <c r="B8" s="5"/>
      <c r="C8" s="5" t="s">
        <v>70</v>
      </c>
      <c r="D8" s="63"/>
      <c r="E8" s="79"/>
      <c r="F8" s="45">
        <f>3400</f>
        <v>3400</v>
      </c>
    </row>
    <row r="9" spans="1:8">
      <c r="A9" s="5"/>
      <c r="B9" s="5"/>
      <c r="C9" s="5" t="s">
        <v>93</v>
      </c>
      <c r="D9" s="63"/>
      <c r="E9" s="79"/>
      <c r="F9" s="45">
        <f>120834.57+20470.13</f>
        <v>141304.70000000001</v>
      </c>
    </row>
    <row r="10" spans="1:8" ht="15" customHeight="1">
      <c r="A10" s="5"/>
      <c r="B10" s="5" t="s">
        <v>34</v>
      </c>
      <c r="C10" s="5"/>
      <c r="D10" s="63"/>
      <c r="E10" s="79"/>
      <c r="F10" s="81">
        <f>SUM(F5:F9)</f>
        <v>156871</v>
      </c>
    </row>
    <row r="11" spans="1:8">
      <c r="A11" s="5"/>
      <c r="B11" s="5"/>
      <c r="C11" s="5"/>
      <c r="D11" s="63"/>
      <c r="E11" s="79"/>
      <c r="F11" s="45"/>
    </row>
    <row r="12" spans="1:8" ht="15" customHeight="1">
      <c r="A12" s="5"/>
      <c r="B12" s="5" t="s">
        <v>39</v>
      </c>
      <c r="C12" s="5"/>
      <c r="D12" s="63"/>
      <c r="E12" s="79"/>
      <c r="F12" s="45"/>
      <c r="H12" s="10"/>
    </row>
    <row r="13" spans="1:8">
      <c r="A13" s="5"/>
      <c r="B13" s="5"/>
      <c r="C13" s="5" t="s">
        <v>5</v>
      </c>
      <c r="D13" s="63"/>
      <c r="E13" s="79"/>
      <c r="F13" s="45">
        <f>1303</f>
        <v>1303</v>
      </c>
      <c r="H13" s="10"/>
    </row>
    <row r="14" spans="1:8">
      <c r="A14" s="5"/>
      <c r="B14" s="5"/>
      <c r="C14" s="5" t="s">
        <v>4</v>
      </c>
      <c r="D14" s="63"/>
      <c r="E14" s="79"/>
      <c r="F14" s="45">
        <f>687.08</f>
        <v>687.08</v>
      </c>
      <c r="H14" s="10"/>
    </row>
    <row r="15" spans="1:8">
      <c r="A15" s="5"/>
      <c r="B15" s="5"/>
      <c r="C15" s="5" t="s">
        <v>9</v>
      </c>
      <c r="D15" s="63"/>
      <c r="E15" s="79"/>
      <c r="F15" s="45">
        <f>5088.84</f>
        <v>5088.84</v>
      </c>
      <c r="H15" s="10"/>
    </row>
    <row r="16" spans="1:8" hidden="1">
      <c r="A16" s="5"/>
      <c r="B16" s="5"/>
      <c r="C16" s="5" t="s">
        <v>104</v>
      </c>
      <c r="D16" s="63"/>
      <c r="E16" s="79"/>
      <c r="F16" s="45"/>
      <c r="H16" s="10"/>
    </row>
    <row r="17" spans="1:8">
      <c r="A17" s="5"/>
      <c r="B17" s="5"/>
      <c r="C17" s="5" t="s">
        <v>63</v>
      </c>
      <c r="D17" s="63"/>
      <c r="E17" s="79"/>
      <c r="F17" s="45">
        <f>3537.06</f>
        <v>3537.06</v>
      </c>
      <c r="H17" s="10"/>
    </row>
    <row r="18" spans="1:8">
      <c r="A18" s="5"/>
      <c r="B18" s="5"/>
      <c r="C18" s="5" t="s">
        <v>6</v>
      </c>
      <c r="D18" s="63"/>
      <c r="E18" s="79"/>
      <c r="F18" s="45">
        <f>7067.6</f>
        <v>7067.6</v>
      </c>
      <c r="G18" s="9"/>
      <c r="H18" s="10"/>
    </row>
    <row r="19" spans="1:8">
      <c r="A19" s="5"/>
      <c r="B19" s="5"/>
      <c r="C19" s="5" t="s">
        <v>73</v>
      </c>
      <c r="D19" s="63"/>
      <c r="E19" s="79"/>
      <c r="F19" s="45">
        <f>164.34</f>
        <v>164.34</v>
      </c>
      <c r="H19" s="10"/>
    </row>
    <row r="20" spans="1:8">
      <c r="A20" s="5"/>
      <c r="B20" s="5"/>
      <c r="C20" s="5" t="s">
        <v>94</v>
      </c>
      <c r="D20" s="63"/>
      <c r="E20" s="79"/>
      <c r="F20" s="45">
        <f>4625+40</f>
        <v>4665</v>
      </c>
      <c r="H20" s="10"/>
    </row>
    <row r="21" spans="1:8">
      <c r="A21" s="5"/>
      <c r="B21" s="5"/>
      <c r="C21" s="5" t="s">
        <v>27</v>
      </c>
      <c r="D21" s="63"/>
      <c r="E21" s="79"/>
      <c r="F21" s="45">
        <f>1304.95</f>
        <v>1304.95</v>
      </c>
      <c r="H21" s="10"/>
    </row>
    <row r="22" spans="1:8">
      <c r="A22" s="5"/>
      <c r="B22" s="5"/>
      <c r="C22" s="5" t="s">
        <v>57</v>
      </c>
      <c r="D22" s="63"/>
      <c r="E22" s="82"/>
      <c r="F22" s="63"/>
      <c r="G22" s="9"/>
      <c r="H22" s="10"/>
    </row>
    <row r="23" spans="1:8">
      <c r="A23" s="5"/>
      <c r="B23" s="5"/>
      <c r="C23" s="41" t="s">
        <v>59</v>
      </c>
      <c r="D23" s="45">
        <f>9131.72</f>
        <v>9131.7199999999993</v>
      </c>
      <c r="E23" s="83"/>
      <c r="G23" s="9"/>
      <c r="H23" s="10"/>
    </row>
    <row r="24" spans="1:8">
      <c r="A24" s="5"/>
      <c r="B24" s="5"/>
      <c r="C24" s="41" t="s">
        <v>60</v>
      </c>
      <c r="D24" s="45">
        <f>4577.47</f>
        <v>4577.47</v>
      </c>
      <c r="E24" s="83"/>
      <c r="G24" s="9"/>
      <c r="H24" s="10"/>
    </row>
    <row r="25" spans="1:8">
      <c r="A25" s="5"/>
      <c r="B25" s="5"/>
      <c r="C25" s="41" t="s">
        <v>65</v>
      </c>
      <c r="D25" s="45">
        <f>45757.55</f>
        <v>45757.55</v>
      </c>
      <c r="E25" s="83"/>
      <c r="G25" s="9"/>
      <c r="H25" s="10"/>
    </row>
    <row r="26" spans="1:8">
      <c r="A26" s="5"/>
      <c r="B26" s="5"/>
      <c r="C26" s="41" t="s">
        <v>74</v>
      </c>
      <c r="D26" s="84">
        <f>993.46</f>
        <v>993.46</v>
      </c>
      <c r="E26" s="83"/>
      <c r="F26" s="85"/>
      <c r="G26" s="9"/>
      <c r="H26" s="10"/>
    </row>
    <row r="27" spans="1:8">
      <c r="A27" s="5"/>
      <c r="B27" s="5"/>
      <c r="C27" s="5" t="s">
        <v>85</v>
      </c>
      <c r="D27" s="85"/>
      <c r="E27" s="83"/>
      <c r="F27" s="45">
        <f>SUM(D23:D26)</f>
        <v>60460.200000000004</v>
      </c>
      <c r="G27" s="9"/>
      <c r="H27" s="10"/>
    </row>
    <row r="28" spans="1:8">
      <c r="A28" s="5"/>
      <c r="B28" s="5"/>
      <c r="C28" s="5" t="s">
        <v>8</v>
      </c>
      <c r="D28" s="63"/>
      <c r="E28" s="79"/>
      <c r="F28" s="45">
        <f>8.85+1583.19</f>
        <v>1592.04</v>
      </c>
      <c r="H28" s="10"/>
    </row>
    <row r="29" spans="1:8">
      <c r="A29" s="5"/>
      <c r="B29" s="5"/>
      <c r="C29" s="5" t="s">
        <v>87</v>
      </c>
      <c r="D29" s="63"/>
      <c r="E29" s="79"/>
      <c r="F29" s="45">
        <f>369.96</f>
        <v>369.96</v>
      </c>
      <c r="H29" s="10"/>
    </row>
    <row r="30" spans="1:8">
      <c r="A30" s="5"/>
      <c r="B30" s="5"/>
      <c r="C30" s="5" t="s">
        <v>95</v>
      </c>
      <c r="D30" s="63"/>
      <c r="E30" s="79"/>
      <c r="F30" s="45">
        <f>14231.16</f>
        <v>14231.16</v>
      </c>
      <c r="H30" s="10"/>
    </row>
    <row r="31" spans="1:8">
      <c r="A31" s="5"/>
      <c r="B31" s="5"/>
      <c r="C31" s="5" t="s">
        <v>10</v>
      </c>
      <c r="D31" s="63"/>
      <c r="E31" s="79"/>
      <c r="F31" s="45">
        <f>16162.16</f>
        <v>16162.16</v>
      </c>
      <c r="H31" s="10"/>
    </row>
    <row r="32" spans="1:8">
      <c r="A32" s="5"/>
      <c r="B32" s="5"/>
      <c r="C32" s="5" t="s">
        <v>64</v>
      </c>
      <c r="D32" s="63"/>
      <c r="E32" s="79"/>
      <c r="F32" s="45">
        <f>1205.95</f>
        <v>1205.95</v>
      </c>
      <c r="H32" s="10"/>
    </row>
    <row r="33" spans="1:8">
      <c r="A33" s="5"/>
      <c r="B33" s="5"/>
      <c r="C33" s="5" t="s">
        <v>71</v>
      </c>
      <c r="D33" s="63"/>
      <c r="E33" s="79"/>
      <c r="F33" s="45">
        <f>306.17</f>
        <v>306.17</v>
      </c>
      <c r="H33" s="10"/>
    </row>
    <row r="34" spans="1:8">
      <c r="A34" s="5"/>
      <c r="B34" s="5"/>
      <c r="C34" s="5" t="s">
        <v>105</v>
      </c>
      <c r="D34" s="63"/>
      <c r="E34" s="79"/>
      <c r="F34" s="45">
        <f>15436</f>
        <v>15436</v>
      </c>
      <c r="H34" s="10"/>
    </row>
    <row r="35" spans="1:8">
      <c r="A35" s="5"/>
      <c r="B35" s="5"/>
      <c r="C35" s="5" t="s">
        <v>12</v>
      </c>
      <c r="D35" s="63"/>
      <c r="E35" s="79"/>
      <c r="F35" s="45">
        <f>32.44+6093.35</f>
        <v>6125.79</v>
      </c>
      <c r="H35" s="10"/>
    </row>
    <row r="36" spans="1:8">
      <c r="A36" s="5"/>
      <c r="B36" s="5"/>
      <c r="C36" s="5" t="s">
        <v>96</v>
      </c>
      <c r="D36" s="63"/>
      <c r="E36" s="79"/>
      <c r="F36" s="45">
        <f>5086.64</f>
        <v>5086.6400000000003</v>
      </c>
      <c r="H36" s="10"/>
    </row>
    <row r="37" spans="1:8">
      <c r="A37" s="5"/>
      <c r="B37" s="5"/>
      <c r="C37" s="5" t="s">
        <v>97</v>
      </c>
      <c r="D37" s="63"/>
      <c r="E37" s="79"/>
      <c r="F37" s="45">
        <f>3827.46</f>
        <v>3827.46</v>
      </c>
      <c r="H37" s="10"/>
    </row>
    <row r="38" spans="1:8">
      <c r="A38" s="5"/>
      <c r="B38" s="5"/>
      <c r="C38" s="5" t="s">
        <v>72</v>
      </c>
      <c r="D38" s="63"/>
      <c r="E38" s="79"/>
      <c r="F38" s="45">
        <f>6914.64+453.56+680.94</f>
        <v>8049.1400000000012</v>
      </c>
      <c r="H38" s="10"/>
    </row>
    <row r="39" spans="1:8" ht="15" customHeight="1">
      <c r="A39" s="5"/>
      <c r="B39" s="5" t="s">
        <v>40</v>
      </c>
      <c r="C39" s="5"/>
      <c r="D39" s="63"/>
      <c r="E39" s="79"/>
      <c r="F39" s="81">
        <f>ROUND(SUM(F12:F38),5)</f>
        <v>156670.54</v>
      </c>
      <c r="G39" s="11"/>
    </row>
    <row r="40" spans="1:8" ht="8.1" customHeight="1">
      <c r="A40" s="5"/>
      <c r="B40" s="5"/>
      <c r="C40" s="5"/>
      <c r="D40" s="63"/>
      <c r="E40" s="79"/>
      <c r="F40" s="108"/>
      <c r="G40" s="11"/>
    </row>
    <row r="41" spans="1:8" s="7" customFormat="1" ht="25.5" customHeight="1" thickBot="1">
      <c r="A41" s="5" t="s">
        <v>35</v>
      </c>
      <c r="B41" s="5"/>
      <c r="C41" s="5"/>
      <c r="D41" s="63"/>
      <c r="E41" s="79" t="s">
        <v>17</v>
      </c>
      <c r="F41" s="107">
        <f>ROUND(F10-F39,5)</f>
        <v>200.46</v>
      </c>
    </row>
    <row r="42" spans="1:8" ht="13.5" thickTop="1">
      <c r="F42" s="86"/>
    </row>
    <row r="43" spans="1:8">
      <c r="F43" s="86"/>
    </row>
    <row r="44" spans="1:8">
      <c r="F44" s="86"/>
    </row>
    <row r="45" spans="1:8">
      <c r="F45" s="86"/>
    </row>
    <row r="46" spans="1:8">
      <c r="F46" s="86"/>
    </row>
    <row r="47" spans="1:8">
      <c r="F47" s="86"/>
    </row>
    <row r="48" spans="1:8">
      <c r="F48" s="86"/>
    </row>
    <row r="49" spans="6:6">
      <c r="F49" s="86"/>
    </row>
    <row r="50" spans="6:6">
      <c r="F50" s="86"/>
    </row>
    <row r="51" spans="6:6">
      <c r="F51" s="86"/>
    </row>
    <row r="52" spans="6:6">
      <c r="F52" s="86"/>
    </row>
  </sheetData>
  <phoneticPr fontId="13" type="noConversion"/>
  <printOptions horizontalCentered="1"/>
  <pageMargins left="0.75" right="0.75" top="1.75" bottom="0.75" header="0.75" footer="0.75"/>
  <pageSetup orientation="portrait" horizontalDpi="300" verticalDpi="300" r:id="rId1"/>
  <headerFooter alignWithMargins="0">
    <oddHeader>&amp;C&amp;"Times New Roman,Bold"&amp;14 Fresno Free College Foundation&amp;12
&amp;14 &amp;11Statement of Revenues, Expenses, 
and Other Changes in Net Assets - Cash Basis
KFCF Fund&amp;14
&amp;10 For the Year Ended August 31, 2012</oddHeader>
    <oddFooter>&amp;C&amp;"Times New Roman,Regular"SEE ACCOMPANYING ACCOUNTANT'S COMPILATION REPORT</oddFooter>
  </headerFooter>
</worksheet>
</file>

<file path=xl/worksheets/sheet11.xml><?xml version="1.0" encoding="utf-8"?>
<worksheet xmlns="http://schemas.openxmlformats.org/spreadsheetml/2006/main" xmlns:r="http://schemas.openxmlformats.org/officeDocument/2006/relationships">
  <dimension ref="A2:E11"/>
  <sheetViews>
    <sheetView zoomScaleNormal="100" workbookViewId="0">
      <selection activeCell="E8" sqref="E8"/>
    </sheetView>
  </sheetViews>
  <sheetFormatPr defaultRowHeight="12.75"/>
  <cols>
    <col min="1" max="2" width="3" style="8" customWidth="1"/>
    <col min="3" max="3" width="31.7109375" style="8" customWidth="1"/>
    <col min="4" max="4" width="2.85546875" style="54" customWidth="1"/>
    <col min="5" max="5" width="10.42578125" style="3" customWidth="1"/>
    <col min="6" max="16384" width="9.140625" style="2"/>
  </cols>
  <sheetData>
    <row r="2" spans="1:5" ht="25.5">
      <c r="B2" s="39"/>
      <c r="C2" s="116" t="s">
        <v>139</v>
      </c>
    </row>
    <row r="4" spans="1:5">
      <c r="A4" s="5"/>
      <c r="B4" s="5" t="s">
        <v>33</v>
      </c>
      <c r="C4" s="5"/>
      <c r="D4" s="53"/>
      <c r="E4" s="9"/>
    </row>
    <row r="5" spans="1:5">
      <c r="A5" s="5"/>
      <c r="B5" s="5"/>
      <c r="C5" s="5" t="s">
        <v>0</v>
      </c>
      <c r="D5" s="53" t="s">
        <v>17</v>
      </c>
      <c r="E5" s="14">
        <f>1376.12-1376.12</f>
        <v>0</v>
      </c>
    </row>
    <row r="6" spans="1:5" ht="15" customHeight="1">
      <c r="A6" s="5"/>
      <c r="B6" s="5"/>
      <c r="C6" s="5"/>
      <c r="D6" s="53"/>
      <c r="E6" s="11"/>
    </row>
    <row r="7" spans="1:5" ht="25.5" customHeight="1">
      <c r="A7" s="5"/>
      <c r="B7" s="5" t="s">
        <v>39</v>
      </c>
      <c r="C7" s="5"/>
      <c r="D7" s="53"/>
      <c r="E7" s="9"/>
    </row>
    <row r="8" spans="1:5">
      <c r="A8" s="5"/>
      <c r="B8" s="5"/>
      <c r="C8" s="5" t="s">
        <v>116</v>
      </c>
      <c r="D8" s="53"/>
      <c r="E8" s="9">
        <f>1376.12-1376.12</f>
        <v>0</v>
      </c>
    </row>
    <row r="9" spans="1:5" ht="14.25" customHeight="1">
      <c r="A9" s="5"/>
      <c r="B9" s="5" t="s">
        <v>40</v>
      </c>
      <c r="C9" s="5"/>
      <c r="D9" s="53"/>
      <c r="E9" s="12">
        <f>SUM(E8)</f>
        <v>0</v>
      </c>
    </row>
    <row r="10" spans="1:5" s="7" customFormat="1" ht="25.5" customHeight="1" thickBot="1">
      <c r="A10" s="5" t="s">
        <v>35</v>
      </c>
      <c r="B10" s="5"/>
      <c r="C10" s="5"/>
      <c r="D10" s="53" t="s">
        <v>17</v>
      </c>
      <c r="E10" s="44">
        <f>+E5-E9</f>
        <v>0</v>
      </c>
    </row>
    <row r="11" spans="1:5" ht="13.5" thickTop="1"/>
  </sheetData>
  <phoneticPr fontId="13" type="noConversion"/>
  <printOptions horizontalCentered="1"/>
  <pageMargins left="0.75" right="0.75" top="1.75" bottom="0.75" header="0.75" footer="1"/>
  <pageSetup orientation="portrait" horizontalDpi="300" verticalDpi="300" r:id="rId1"/>
  <headerFooter alignWithMargins="0">
    <oddHeader>&amp;C&amp;"Times New Roman,Bold"&amp;14 Fresno Free College Foundation&amp;"Arial,Bold"&amp;12
&amp;11 &amp;"Times New Roman,Bold"Statement of Revenues, Expenses,
and Other Changes in Net Assets - Cash Basis
Gallery 25 Fund
&amp;10For the Year Ended August 31, 2012</oddHeader>
    <oddFooter>&amp;C&amp;"Times New Roman,Regular"SEE ACCOMPANYING ACCOUNTANT'S COMPILATION REPORT</oddFooter>
  </headerFooter>
  <legacyDrawing r:id="rId2"/>
</worksheet>
</file>

<file path=xl/worksheets/sheet12.xml><?xml version="1.0" encoding="utf-8"?>
<worksheet xmlns="http://schemas.openxmlformats.org/spreadsheetml/2006/main" xmlns:r="http://schemas.openxmlformats.org/officeDocument/2006/relationships">
  <dimension ref="A2:E17"/>
  <sheetViews>
    <sheetView zoomScaleNormal="100" workbookViewId="0">
      <selection activeCell="I7" sqref="I7:I8"/>
    </sheetView>
  </sheetViews>
  <sheetFormatPr defaultRowHeight="12.75"/>
  <cols>
    <col min="1" max="2" width="3" style="87" customWidth="1"/>
    <col min="3" max="3" width="30.7109375" style="87" customWidth="1"/>
    <col min="4" max="4" width="3.42578125" style="89" customWidth="1"/>
    <col min="5" max="5" width="9.140625" style="90"/>
    <col min="6" max="16384" width="9.140625" style="91"/>
  </cols>
  <sheetData>
    <row r="2" spans="1:5" ht="12.75" customHeight="1">
      <c r="B2" s="88"/>
    </row>
    <row r="3" spans="1:5" s="95" customFormat="1">
      <c r="A3" s="92"/>
      <c r="B3" s="92"/>
      <c r="C3" s="92"/>
      <c r="D3" s="93"/>
      <c r="E3" s="94"/>
    </row>
    <row r="4" spans="1:5">
      <c r="A4" s="96"/>
      <c r="B4" s="96" t="s">
        <v>33</v>
      </c>
      <c r="C4" s="96"/>
      <c r="D4" s="93"/>
      <c r="E4" s="97"/>
    </row>
    <row r="5" spans="1:5">
      <c r="A5" s="96"/>
      <c r="B5" s="96"/>
      <c r="C5" s="96" t="s">
        <v>1</v>
      </c>
      <c r="D5" s="93" t="s">
        <v>17</v>
      </c>
      <c r="E5" s="99">
        <v>0</v>
      </c>
    </row>
    <row r="6" spans="1:5">
      <c r="A6" s="96"/>
      <c r="B6" s="96" t="s">
        <v>34</v>
      </c>
      <c r="C6" s="96"/>
      <c r="D6" s="93"/>
      <c r="E6" s="98">
        <f>SUM(E5:E5)</f>
        <v>0</v>
      </c>
    </row>
    <row r="7" spans="1:5">
      <c r="A7" s="96"/>
      <c r="B7" s="100"/>
      <c r="C7" s="100"/>
      <c r="D7" s="101"/>
      <c r="E7" s="98"/>
    </row>
    <row r="8" spans="1:5">
      <c r="A8" s="96"/>
      <c r="B8" s="100"/>
      <c r="C8" s="100"/>
      <c r="D8" s="101"/>
      <c r="E8" s="98"/>
    </row>
    <row r="9" spans="1:5" ht="23.25" customHeight="1">
      <c r="A9" s="96"/>
      <c r="B9" s="96" t="s">
        <v>39</v>
      </c>
      <c r="C9" s="96"/>
      <c r="D9" s="93"/>
      <c r="E9" s="97"/>
    </row>
    <row r="10" spans="1:5" ht="14.25" hidden="1" customHeight="1">
      <c r="A10" s="96"/>
      <c r="B10" s="96"/>
      <c r="C10" s="96" t="s">
        <v>100</v>
      </c>
      <c r="D10" s="93"/>
      <c r="E10" s="97">
        <v>0</v>
      </c>
    </row>
    <row r="11" spans="1:5" ht="14.25" hidden="1" customHeight="1">
      <c r="A11" s="96"/>
      <c r="B11" s="96"/>
      <c r="C11" s="96" t="s">
        <v>104</v>
      </c>
      <c r="D11" s="93"/>
      <c r="E11" s="97">
        <v>0</v>
      </c>
    </row>
    <row r="12" spans="1:5" ht="14.25" customHeight="1">
      <c r="A12" s="96"/>
      <c r="B12" s="96"/>
      <c r="C12" s="96" t="s">
        <v>27</v>
      </c>
      <c r="D12" s="93"/>
      <c r="E12" s="97">
        <v>68</v>
      </c>
    </row>
    <row r="13" spans="1:5" ht="14.25" customHeight="1">
      <c r="A13" s="96"/>
      <c r="B13" s="96"/>
      <c r="C13" s="96" t="s">
        <v>12</v>
      </c>
      <c r="D13" s="93"/>
      <c r="E13" s="97">
        <f>162.02</f>
        <v>162.02000000000001</v>
      </c>
    </row>
    <row r="14" spans="1:5" hidden="1">
      <c r="A14" s="96"/>
      <c r="B14" s="96"/>
      <c r="C14" s="96" t="s">
        <v>99</v>
      </c>
      <c r="D14" s="93"/>
      <c r="E14" s="99">
        <v>0</v>
      </c>
    </row>
    <row r="15" spans="1:5" ht="15" customHeight="1">
      <c r="A15" s="96"/>
      <c r="B15" s="96" t="s">
        <v>40</v>
      </c>
      <c r="C15" s="96"/>
      <c r="D15" s="93"/>
      <c r="E15" s="102">
        <f>SUM(E10:E14)</f>
        <v>230.02</v>
      </c>
    </row>
    <row r="16" spans="1:5" s="103" customFormat="1" ht="25.5" customHeight="1" thickBot="1">
      <c r="A16" s="96" t="s">
        <v>35</v>
      </c>
      <c r="B16" s="96"/>
      <c r="C16" s="96"/>
      <c r="D16" s="101" t="s">
        <v>17</v>
      </c>
      <c r="E16" s="105">
        <f>+E6-E15</f>
        <v>-230.02</v>
      </c>
    </row>
    <row r="17" ht="13.5" thickTop="1"/>
  </sheetData>
  <printOptions horizontalCentered="1"/>
  <pageMargins left="0.75" right="0.75" top="1.75" bottom="0.75" header="0.75" footer="1"/>
  <pageSetup orientation="portrait" horizontalDpi="300" verticalDpi="300" r:id="rId1"/>
  <headerFooter alignWithMargins="0">
    <oddHeader>&amp;C&amp;"Arial,Bold"&amp;12 &amp;"Times New Roman,Bold"&amp;14Fresno Free College Foundation
&amp;11 Statement of Revenues, Expenses,
and Other Changes in Net Assets - Cash Basis
Partners In Focus
&amp;10For the Year Ended August 31, 2010</oddHeader>
    <oddFooter>&amp;C&amp;"Times New Roman,Regular"SEE ACCOMPANYING ACCOUNTANT'S COMPILATION REPORT</oddFooter>
  </headerFooter>
</worksheet>
</file>

<file path=xl/worksheets/sheet13.xml><?xml version="1.0" encoding="utf-8"?>
<worksheet xmlns="http://schemas.openxmlformats.org/spreadsheetml/2006/main" xmlns:r="http://schemas.openxmlformats.org/officeDocument/2006/relationships">
  <dimension ref="A2:E12"/>
  <sheetViews>
    <sheetView zoomScaleNormal="100" workbookViewId="0">
      <selection activeCell="I10" sqref="I10"/>
    </sheetView>
  </sheetViews>
  <sheetFormatPr defaultRowHeight="12.75"/>
  <cols>
    <col min="1" max="2" width="3" style="87" customWidth="1"/>
    <col min="3" max="3" width="30.7109375" style="87" customWidth="1"/>
    <col min="4" max="4" width="3.42578125" style="89" customWidth="1"/>
    <col min="5" max="5" width="9.140625" style="90"/>
    <col min="6" max="16384" width="9.140625" style="91"/>
  </cols>
  <sheetData>
    <row r="2" spans="1:5" ht="12.75" customHeight="1">
      <c r="B2" s="88"/>
    </row>
    <row r="3" spans="1:5" s="95" customFormat="1">
      <c r="A3" s="92"/>
      <c r="B3" s="92"/>
      <c r="C3" s="92"/>
      <c r="D3" s="93"/>
      <c r="E3" s="94"/>
    </row>
    <row r="4" spans="1:5">
      <c r="A4" s="96"/>
      <c r="B4" s="96" t="s">
        <v>33</v>
      </c>
      <c r="C4" s="96"/>
      <c r="D4" s="93"/>
      <c r="E4" s="97"/>
    </row>
    <row r="5" spans="1:5" ht="12" customHeight="1">
      <c r="A5" s="96"/>
      <c r="B5" s="96"/>
      <c r="C5" s="96" t="s">
        <v>0</v>
      </c>
      <c r="D5" s="93" t="s">
        <v>17</v>
      </c>
      <c r="E5" s="99">
        <v>0</v>
      </c>
    </row>
    <row r="6" spans="1:5">
      <c r="A6" s="96"/>
      <c r="B6" s="100"/>
      <c r="C6" s="100"/>
      <c r="D6" s="101"/>
      <c r="E6" s="98"/>
    </row>
    <row r="7" spans="1:5">
      <c r="A7" s="96"/>
      <c r="B7" s="100"/>
      <c r="C7" s="100"/>
      <c r="D7" s="101"/>
      <c r="E7" s="98"/>
    </row>
    <row r="8" spans="1:5" ht="23.25" customHeight="1">
      <c r="A8" s="96"/>
      <c r="B8" s="96" t="s">
        <v>39</v>
      </c>
      <c r="C8" s="96"/>
      <c r="D8" s="93"/>
      <c r="E8" s="97"/>
    </row>
    <row r="9" spans="1:5" ht="14.25" customHeight="1">
      <c r="A9" s="96"/>
      <c r="B9" s="96"/>
      <c r="C9" s="104" t="s">
        <v>12</v>
      </c>
      <c r="D9" s="93"/>
      <c r="E9" s="97">
        <v>964.17</v>
      </c>
    </row>
    <row r="10" spans="1:5" ht="15" customHeight="1">
      <c r="A10" s="96"/>
      <c r="B10" s="96" t="s">
        <v>40</v>
      </c>
      <c r="C10" s="96"/>
      <c r="D10" s="93"/>
      <c r="E10" s="102">
        <f>SUM(E9:E9)</f>
        <v>964.17</v>
      </c>
    </row>
    <row r="11" spans="1:5" s="103" customFormat="1" ht="25.5" customHeight="1" thickBot="1">
      <c r="A11" s="96" t="s">
        <v>35</v>
      </c>
      <c r="B11" s="96"/>
      <c r="C11" s="96"/>
      <c r="D11" s="101" t="s">
        <v>17</v>
      </c>
      <c r="E11" s="105">
        <f>+E5-E10</f>
        <v>-964.17</v>
      </c>
    </row>
    <row r="12" spans="1:5" ht="13.5" thickTop="1"/>
  </sheetData>
  <printOptions horizontalCentered="1"/>
  <pageMargins left="0.75" right="0.75" top="1.75" bottom="0.75" header="0.75" footer="1"/>
  <pageSetup orientation="portrait" horizontalDpi="300" verticalDpi="300" r:id="rId1"/>
  <headerFooter alignWithMargins="0">
    <oddHeader>&amp;C&amp;"Arial,Bold"&amp;12 &amp;"Times New Roman,Bold"&amp;14Fresno Free College Foundation
&amp;11 Statement of Revenues, Expenses,
and Other Changes in Net Assets - Cash Basis
Sleeping Bag Project&amp;14
&amp;10For the Year Ended August 31, 2010</oddHeader>
    <oddFooter>&amp;C&amp;"Times New Roman,Regular"SEE ACCOMPANYING ACCOUNTANT'S COMPILATION REPORT</oddFooter>
  </headerFooter>
</worksheet>
</file>

<file path=xl/worksheets/sheet2.xml><?xml version="1.0" encoding="utf-8"?>
<worksheet xmlns="http://schemas.openxmlformats.org/spreadsheetml/2006/main" xmlns:r="http://schemas.openxmlformats.org/officeDocument/2006/relationships">
  <dimension ref="A2:A78"/>
  <sheetViews>
    <sheetView workbookViewId="0">
      <selection activeCell="A29" sqref="A29"/>
    </sheetView>
  </sheetViews>
  <sheetFormatPr defaultRowHeight="12.75"/>
  <cols>
    <col min="1" max="1" width="83.7109375" customWidth="1"/>
  </cols>
  <sheetData>
    <row r="2" spans="1:1" ht="26.25">
      <c r="A2" s="31" t="s">
        <v>56</v>
      </c>
    </row>
    <row r="3" spans="1:1">
      <c r="A3" s="2" t="s">
        <v>62</v>
      </c>
    </row>
    <row r="4" spans="1:1">
      <c r="A4" s="2" t="s">
        <v>53</v>
      </c>
    </row>
    <row r="5" spans="1:1">
      <c r="A5" s="2" t="s">
        <v>54</v>
      </c>
    </row>
    <row r="6" spans="1:1">
      <c r="A6" s="2" t="s">
        <v>55</v>
      </c>
    </row>
    <row r="10" spans="1:1">
      <c r="A10" s="32" t="s">
        <v>44</v>
      </c>
    </row>
    <row r="11" spans="1:1">
      <c r="A11" s="32"/>
    </row>
    <row r="12" spans="1:1">
      <c r="A12" s="32"/>
    </row>
    <row r="13" spans="1:1">
      <c r="A13" s="32"/>
    </row>
    <row r="14" spans="1:1">
      <c r="A14" s="33" t="s">
        <v>45</v>
      </c>
    </row>
    <row r="15" spans="1:1">
      <c r="A15" s="33" t="s">
        <v>21</v>
      </c>
    </row>
    <row r="16" spans="1:1">
      <c r="A16" s="33" t="s">
        <v>46</v>
      </c>
    </row>
    <row r="17" spans="1:1">
      <c r="A17" s="32"/>
    </row>
    <row r="18" spans="1:1">
      <c r="A18" s="32"/>
    </row>
    <row r="19" spans="1:1" ht="102">
      <c r="A19" s="60" t="s">
        <v>131</v>
      </c>
    </row>
    <row r="20" spans="1:1">
      <c r="A20" s="32"/>
    </row>
    <row r="21" spans="1:1" ht="38.25">
      <c r="A21" s="60" t="s">
        <v>132</v>
      </c>
    </row>
    <row r="22" spans="1:1">
      <c r="A22" s="60"/>
    </row>
    <row r="23" spans="1:1" ht="76.5">
      <c r="A23" s="60" t="s">
        <v>129</v>
      </c>
    </row>
    <row r="24" spans="1:1">
      <c r="A24" s="60"/>
    </row>
    <row r="25" spans="1:1" ht="76.5">
      <c r="A25" s="60" t="s">
        <v>130</v>
      </c>
    </row>
    <row r="26" spans="1:1">
      <c r="A26" s="32"/>
    </row>
    <row r="27" spans="1:1">
      <c r="A27" s="34"/>
    </row>
    <row r="28" spans="1:1">
      <c r="A28" s="32"/>
    </row>
    <row r="29" spans="1:1">
      <c r="A29" s="33" t="s">
        <v>47</v>
      </c>
    </row>
    <row r="30" spans="1:1">
      <c r="A30" s="33" t="s">
        <v>48</v>
      </c>
    </row>
    <row r="31" spans="1:1">
      <c r="A31" s="74">
        <v>41227</v>
      </c>
    </row>
    <row r="32" spans="1:1">
      <c r="A32" s="35"/>
    </row>
    <row r="33" spans="1:1">
      <c r="A33" s="32"/>
    </row>
    <row r="34" spans="1:1">
      <c r="A34" s="32"/>
    </row>
    <row r="35" spans="1:1">
      <c r="A35" s="32"/>
    </row>
    <row r="36" spans="1:1">
      <c r="A36" s="32"/>
    </row>
    <row r="37" spans="1:1">
      <c r="A37" s="32"/>
    </row>
    <row r="38" spans="1:1">
      <c r="A38" s="32"/>
    </row>
    <row r="39" spans="1:1">
      <c r="A39" s="32"/>
    </row>
    <row r="40" spans="1:1">
      <c r="A40" s="32"/>
    </row>
    <row r="41" spans="1:1">
      <c r="A41" s="32"/>
    </row>
    <row r="42" spans="1:1">
      <c r="A42" s="32"/>
    </row>
    <row r="43" spans="1:1">
      <c r="A43" s="32"/>
    </row>
    <row r="44" spans="1:1">
      <c r="A44" s="32"/>
    </row>
    <row r="45" spans="1:1">
      <c r="A45" s="32"/>
    </row>
    <row r="46" spans="1:1">
      <c r="A46" s="32"/>
    </row>
    <row r="47" spans="1:1">
      <c r="A47" s="32"/>
    </row>
    <row r="48" spans="1:1">
      <c r="A48" s="32"/>
    </row>
    <row r="49" spans="1:1">
      <c r="A49" s="32"/>
    </row>
    <row r="50" spans="1:1">
      <c r="A50" s="32"/>
    </row>
    <row r="51" spans="1:1">
      <c r="A51" s="32"/>
    </row>
    <row r="52" spans="1:1">
      <c r="A52" s="32"/>
    </row>
    <row r="53" spans="1:1">
      <c r="A53" s="32"/>
    </row>
    <row r="54" spans="1:1">
      <c r="A54" s="32"/>
    </row>
    <row r="55" spans="1:1">
      <c r="A55" s="32"/>
    </row>
    <row r="56" spans="1:1">
      <c r="A56" s="32"/>
    </row>
    <row r="57" spans="1:1">
      <c r="A57" s="32"/>
    </row>
    <row r="58" spans="1:1">
      <c r="A58" s="32"/>
    </row>
    <row r="59" spans="1:1">
      <c r="A59" s="32"/>
    </row>
    <row r="60" spans="1:1">
      <c r="A60" s="36"/>
    </row>
    <row r="61" spans="1:1">
      <c r="A61" s="32"/>
    </row>
    <row r="62" spans="1:1">
      <c r="A62" s="32"/>
    </row>
    <row r="63" spans="1:1">
      <c r="A63" s="32"/>
    </row>
    <row r="64" spans="1:1">
      <c r="A64" s="32"/>
    </row>
    <row r="65" spans="1:1">
      <c r="A65" s="32"/>
    </row>
    <row r="66" spans="1:1">
      <c r="A66" s="32"/>
    </row>
    <row r="67" spans="1:1">
      <c r="A67" s="32"/>
    </row>
    <row r="68" spans="1:1">
      <c r="A68" s="32"/>
    </row>
    <row r="69" spans="1:1">
      <c r="A69" s="32"/>
    </row>
    <row r="70" spans="1:1">
      <c r="A70" s="32"/>
    </row>
    <row r="71" spans="1:1">
      <c r="A71" s="32"/>
    </row>
    <row r="72" spans="1:1">
      <c r="A72" s="32"/>
    </row>
    <row r="73" spans="1:1">
      <c r="A73" s="32"/>
    </row>
    <row r="74" spans="1:1">
      <c r="A74" s="32"/>
    </row>
    <row r="75" spans="1:1">
      <c r="A75" s="32"/>
    </row>
    <row r="76" spans="1:1">
      <c r="A76" s="32"/>
    </row>
    <row r="77" spans="1:1">
      <c r="A77" s="32"/>
    </row>
    <row r="78" spans="1:1">
      <c r="A78" s="32"/>
    </row>
  </sheetData>
  <phoneticPr fontId="13"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H36"/>
  <sheetViews>
    <sheetView tabSelected="1" zoomScaleNormal="100" zoomScaleSheetLayoutView="100" workbookViewId="0">
      <selection activeCell="J31" sqref="J31"/>
    </sheetView>
  </sheetViews>
  <sheetFormatPr defaultRowHeight="12.75"/>
  <cols>
    <col min="1" max="4" width="3" style="8" customWidth="1"/>
    <col min="5" max="5" width="31.140625" style="8" customWidth="1"/>
    <col min="6" max="6" width="3.140625" style="47" customWidth="1"/>
    <col min="7" max="7" width="13.42578125" style="3" bestFit="1" customWidth="1"/>
    <col min="8" max="16384" width="9.140625" style="2"/>
  </cols>
  <sheetData>
    <row r="2" spans="1:7" ht="20.25">
      <c r="C2" s="38"/>
    </row>
    <row r="3" spans="1:7" s="1" customFormat="1">
      <c r="A3" s="4"/>
      <c r="B3" s="4"/>
      <c r="C3" s="4"/>
      <c r="D3" s="4"/>
      <c r="E3" s="4"/>
      <c r="F3" s="4"/>
      <c r="G3" s="42"/>
    </row>
    <row r="4" spans="1:7" ht="15" customHeight="1">
      <c r="A4" s="5" t="s">
        <v>13</v>
      </c>
      <c r="B4" s="5"/>
      <c r="C4" s="5"/>
      <c r="D4" s="5"/>
      <c r="E4" s="5"/>
      <c r="F4" s="4"/>
      <c r="G4" s="6"/>
    </row>
    <row r="5" spans="1:7" ht="15" customHeight="1">
      <c r="A5" s="5"/>
      <c r="B5" s="5" t="s">
        <v>28</v>
      </c>
      <c r="C5" s="5"/>
      <c r="D5" s="5"/>
      <c r="E5" s="5"/>
      <c r="F5" s="4"/>
      <c r="G5" s="9"/>
    </row>
    <row r="6" spans="1:7" ht="15" customHeight="1">
      <c r="A6" s="5"/>
      <c r="B6" s="5"/>
      <c r="C6" s="5" t="s">
        <v>18</v>
      </c>
      <c r="D6" s="5"/>
      <c r="F6" s="4" t="s">
        <v>17</v>
      </c>
      <c r="G6" s="9">
        <f>16498.51</f>
        <v>16498.509999999998</v>
      </c>
    </row>
    <row r="7" spans="1:7" ht="23.25" customHeight="1">
      <c r="A7" s="5"/>
      <c r="B7" s="5" t="s">
        <v>61</v>
      </c>
      <c r="C7" s="5"/>
      <c r="D7" s="5"/>
      <c r="E7" s="5"/>
      <c r="F7" s="4"/>
      <c r="G7" s="11">
        <f>24919.28</f>
        <v>24919.279999999999</v>
      </c>
    </row>
    <row r="8" spans="1:7" s="7" customFormat="1" ht="25.5" customHeight="1" thickBot="1">
      <c r="A8" s="5" t="s">
        <v>14</v>
      </c>
      <c r="B8" s="5"/>
      <c r="C8" s="5"/>
      <c r="D8" s="5"/>
      <c r="E8" s="5"/>
      <c r="F8" s="4" t="s">
        <v>17</v>
      </c>
      <c r="G8" s="13">
        <f>SUM(G6:G7)</f>
        <v>41417.789999999994</v>
      </c>
    </row>
    <row r="9" spans="1:7" s="7" customFormat="1" ht="13.5" customHeight="1" thickTop="1">
      <c r="A9" s="5"/>
      <c r="B9" s="5"/>
      <c r="C9" s="5"/>
      <c r="D9" s="5"/>
      <c r="E9" s="5"/>
      <c r="F9" s="4"/>
      <c r="G9" s="15"/>
    </row>
    <row r="10" spans="1:7" s="7" customFormat="1" ht="13.5" customHeight="1">
      <c r="A10" s="5"/>
      <c r="B10" s="5"/>
      <c r="C10" s="5"/>
      <c r="D10" s="5"/>
      <c r="E10" s="5"/>
      <c r="F10" s="4"/>
      <c r="G10" s="15"/>
    </row>
    <row r="11" spans="1:7" s="7" customFormat="1" ht="13.5" customHeight="1">
      <c r="A11" s="5"/>
      <c r="B11" s="5"/>
      <c r="C11" s="5"/>
      <c r="D11" s="5"/>
      <c r="E11" s="5"/>
      <c r="F11" s="4"/>
      <c r="G11" s="15"/>
    </row>
    <row r="12" spans="1:7" ht="27" customHeight="1">
      <c r="A12" s="5" t="s">
        <v>29</v>
      </c>
      <c r="B12" s="5"/>
      <c r="C12" s="5"/>
      <c r="D12" s="5"/>
      <c r="E12" s="5"/>
      <c r="F12" s="4"/>
      <c r="G12" s="9"/>
    </row>
    <row r="13" spans="1:7" ht="15" customHeight="1">
      <c r="A13" s="5"/>
      <c r="B13" s="5" t="s">
        <v>15</v>
      </c>
      <c r="C13" s="5"/>
      <c r="D13" s="5"/>
      <c r="E13" s="5"/>
      <c r="F13" s="4"/>
      <c r="G13" s="9"/>
    </row>
    <row r="14" spans="1:7" ht="15" customHeight="1">
      <c r="A14" s="5"/>
      <c r="B14" s="5"/>
      <c r="C14" s="5" t="s">
        <v>16</v>
      </c>
      <c r="D14" s="2"/>
      <c r="E14" s="5"/>
      <c r="F14" s="4" t="s">
        <v>17</v>
      </c>
      <c r="G14" s="11">
        <f>1286.46</f>
        <v>1286.46</v>
      </c>
    </row>
    <row r="15" spans="1:7" ht="25.5" customHeight="1">
      <c r="A15" s="5"/>
      <c r="B15" s="5" t="s">
        <v>32</v>
      </c>
      <c r="C15" s="5"/>
      <c r="D15" s="5"/>
      <c r="E15" s="5"/>
      <c r="F15" s="4"/>
      <c r="G15" s="9"/>
    </row>
    <row r="16" spans="1:7" ht="15.75" customHeight="1">
      <c r="A16" s="5"/>
      <c r="B16" s="5"/>
      <c r="C16" s="5" t="s">
        <v>30</v>
      </c>
      <c r="D16" s="5"/>
      <c r="E16" s="5"/>
      <c r="F16" s="4"/>
      <c r="G16" s="46">
        <f>40131.33</f>
        <v>40131.33</v>
      </c>
    </row>
    <row r="17" spans="1:8" s="7" customFormat="1" ht="25.5" customHeight="1" thickBot="1">
      <c r="A17" s="5" t="s">
        <v>31</v>
      </c>
      <c r="B17" s="5"/>
      <c r="C17" s="5"/>
      <c r="D17" s="5"/>
      <c r="E17" s="5"/>
      <c r="F17" s="4" t="s">
        <v>17</v>
      </c>
      <c r="G17" s="43">
        <f>SUM(G14:G16)</f>
        <v>41417.79</v>
      </c>
      <c r="H17" s="40"/>
    </row>
    <row r="18" spans="1:8" ht="13.5" thickTop="1">
      <c r="G18" s="10"/>
    </row>
    <row r="19" spans="1:8">
      <c r="G19" s="10"/>
    </row>
    <row r="20" spans="1:8">
      <c r="G20" s="10"/>
    </row>
    <row r="21" spans="1:8">
      <c r="G21" s="10"/>
    </row>
    <row r="22" spans="1:8">
      <c r="G22" s="10"/>
    </row>
    <row r="23" spans="1:8">
      <c r="G23" s="10"/>
    </row>
    <row r="24" spans="1:8">
      <c r="G24" s="10"/>
    </row>
    <row r="25" spans="1:8">
      <c r="G25" s="10"/>
    </row>
    <row r="26" spans="1:8">
      <c r="G26" s="10"/>
    </row>
    <row r="27" spans="1:8">
      <c r="G27" s="10"/>
    </row>
    <row r="28" spans="1:8">
      <c r="G28" s="10"/>
    </row>
    <row r="29" spans="1:8">
      <c r="G29" s="10"/>
    </row>
    <row r="30" spans="1:8">
      <c r="G30" s="10"/>
    </row>
    <row r="31" spans="1:8">
      <c r="G31" s="10"/>
    </row>
    <row r="32" spans="1:8">
      <c r="G32" s="10"/>
    </row>
    <row r="33" spans="7:7">
      <c r="G33" s="10"/>
    </row>
    <row r="34" spans="7:7">
      <c r="G34" s="10"/>
    </row>
    <row r="35" spans="7:7">
      <c r="G35" s="10"/>
    </row>
    <row r="36" spans="7:7">
      <c r="G36" s="10"/>
    </row>
  </sheetData>
  <phoneticPr fontId="13" type="noConversion"/>
  <printOptions horizontalCentered="1"/>
  <pageMargins left="0.75" right="0.75" top="1.75" bottom="0.75" header="0.75" footer="1"/>
  <pageSetup orientation="portrait" horizontalDpi="300" verticalDpi="300" r:id="rId1"/>
  <headerFooter alignWithMargins="0">
    <oddHeader>&amp;C&amp;"Times New Roman,Bold"&amp;14 Fresno Free College Foundation&amp;"Arial,Bold"&amp;12
&amp;"Times New Roman,Bold"&amp;11 Statement of Assets, Liabilities, and Net Assets - Cash Basis
&amp;10August 31, 2012</oddHeader>
    <oddFooter>&amp;C&amp;"Times New Roman,Regular"SEE ACCOMPANYING ACCOUNTANT'S COMPILATION REPORT</oddFooter>
  </headerFooter>
</worksheet>
</file>

<file path=xl/worksheets/sheet4.xml><?xml version="1.0" encoding="utf-8"?>
<worksheet xmlns="http://schemas.openxmlformats.org/spreadsheetml/2006/main" xmlns:r="http://schemas.openxmlformats.org/officeDocument/2006/relationships">
  <dimension ref="A1:I46"/>
  <sheetViews>
    <sheetView zoomScaleNormal="100" workbookViewId="0">
      <selection activeCell="L28" sqref="L28"/>
    </sheetView>
  </sheetViews>
  <sheetFormatPr defaultRowHeight="12.75"/>
  <cols>
    <col min="1" max="1" width="21.85546875" style="2" customWidth="1"/>
    <col min="2" max="2" width="3" style="66" customWidth="1"/>
    <col min="3" max="3" width="12.5703125" style="2" customWidth="1"/>
    <col min="4" max="4" width="3" style="66" customWidth="1"/>
    <col min="5" max="5" width="12.5703125" style="2" customWidth="1"/>
    <col min="6" max="6" width="3" style="66" customWidth="1"/>
    <col min="7" max="7" width="12.5703125" style="2" customWidth="1"/>
    <col min="8" max="8" width="3" style="66" customWidth="1"/>
    <col min="9" max="9" width="17" style="2" customWidth="1"/>
    <col min="10" max="16384" width="9.140625" style="2"/>
  </cols>
  <sheetData>
    <row r="1" spans="1:9" ht="18.75">
      <c r="A1" s="118" t="s">
        <v>21</v>
      </c>
      <c r="B1" s="118"/>
      <c r="C1" s="118"/>
      <c r="D1" s="118"/>
      <c r="E1" s="118"/>
      <c r="F1" s="118"/>
      <c r="G1" s="118"/>
      <c r="H1" s="118"/>
      <c r="I1" s="118"/>
    </row>
    <row r="2" spans="1:9" ht="14.25">
      <c r="A2" s="117" t="s">
        <v>42</v>
      </c>
      <c r="B2" s="117"/>
      <c r="C2" s="117"/>
      <c r="D2" s="117"/>
      <c r="E2" s="117"/>
      <c r="F2" s="117"/>
      <c r="G2" s="117"/>
      <c r="H2" s="117"/>
      <c r="I2" s="117"/>
    </row>
    <row r="3" spans="1:9" ht="14.25">
      <c r="A3" s="117" t="s">
        <v>106</v>
      </c>
      <c r="B3" s="117"/>
      <c r="C3" s="117"/>
      <c r="D3" s="117"/>
      <c r="E3" s="117"/>
      <c r="F3" s="117"/>
      <c r="G3" s="117"/>
      <c r="H3" s="117"/>
      <c r="I3" s="117"/>
    </row>
    <row r="4" spans="1:9" ht="14.25">
      <c r="A4" s="64"/>
      <c r="B4" s="65"/>
      <c r="C4" s="64"/>
      <c r="D4" s="65"/>
      <c r="E4" s="64"/>
      <c r="F4" s="65"/>
      <c r="G4" s="64"/>
      <c r="H4" s="65"/>
      <c r="I4" s="64"/>
    </row>
    <row r="5" spans="1:9">
      <c r="A5" s="16"/>
      <c r="B5" s="72"/>
      <c r="I5" s="17"/>
    </row>
    <row r="6" spans="1:9" ht="25.5">
      <c r="A6" s="39"/>
      <c r="B6" s="72"/>
      <c r="I6" s="17"/>
    </row>
    <row r="7" spans="1:9" ht="18.75" customHeight="1">
      <c r="A7" s="39"/>
      <c r="B7" s="72"/>
      <c r="I7" s="17"/>
    </row>
    <row r="8" spans="1:9">
      <c r="A8" s="16"/>
      <c r="B8" s="72"/>
      <c r="I8" s="17"/>
    </row>
    <row r="9" spans="1:9" ht="18.75">
      <c r="A9" s="18"/>
      <c r="B9" s="73"/>
    </row>
    <row r="10" spans="1:9" ht="18.75">
      <c r="A10" s="18"/>
      <c r="B10" s="73"/>
      <c r="C10" s="26" t="s">
        <v>41</v>
      </c>
      <c r="D10" s="25"/>
      <c r="E10" s="29"/>
      <c r="F10" s="25"/>
      <c r="G10" s="29"/>
      <c r="H10" s="25"/>
      <c r="I10" s="26" t="s">
        <v>41</v>
      </c>
    </row>
    <row r="11" spans="1:9">
      <c r="C11" s="27" t="s">
        <v>38</v>
      </c>
      <c r="D11" s="70"/>
      <c r="E11" s="29"/>
      <c r="F11" s="25"/>
      <c r="G11" s="29"/>
      <c r="H11" s="25"/>
      <c r="I11" s="27" t="s">
        <v>38</v>
      </c>
    </row>
    <row r="12" spans="1:9">
      <c r="C12" s="30" t="s">
        <v>103</v>
      </c>
      <c r="D12" s="71"/>
      <c r="E12" s="28" t="s">
        <v>22</v>
      </c>
      <c r="F12" s="67"/>
      <c r="G12" s="28" t="s">
        <v>23</v>
      </c>
      <c r="H12" s="67"/>
      <c r="I12" s="30" t="s">
        <v>107</v>
      </c>
    </row>
    <row r="13" spans="1:9" ht="16.5" customHeight="1">
      <c r="A13" s="24" t="s">
        <v>24</v>
      </c>
      <c r="B13" s="66" t="s">
        <v>17</v>
      </c>
      <c r="C13" s="61">
        <v>33348.22</v>
      </c>
      <c r="D13" s="68" t="s">
        <v>17</v>
      </c>
      <c r="E13" s="10">
        <f>Ananda!E8</f>
        <v>10299.040000000001</v>
      </c>
      <c r="F13" s="68" t="s">
        <v>17</v>
      </c>
      <c r="G13" s="10">
        <f>-Ananda!E16</f>
        <v>-10045</v>
      </c>
      <c r="H13" s="68" t="s">
        <v>17</v>
      </c>
      <c r="I13" s="10">
        <f t="shared" ref="I13:I19" si="0">SUM(C13:H13)</f>
        <v>33602.26</v>
      </c>
    </row>
    <row r="14" spans="1:9" ht="16.5" customHeight="1">
      <c r="A14" s="24" t="s">
        <v>118</v>
      </c>
      <c r="C14" s="61">
        <v>0</v>
      </c>
      <c r="D14" s="68"/>
      <c r="E14" s="10">
        <f>CCMA!E7</f>
        <v>3400</v>
      </c>
      <c r="F14" s="68"/>
      <c r="G14" s="10">
        <f>-CCMA!E17</f>
        <v>-3144.74</v>
      </c>
      <c r="H14" s="68"/>
      <c r="I14" s="10">
        <f t="shared" si="0"/>
        <v>255.26000000000022</v>
      </c>
    </row>
    <row r="15" spans="1:9" ht="16.5" customHeight="1">
      <c r="A15" s="24" t="s">
        <v>26</v>
      </c>
      <c r="C15" s="61">
        <v>-5739.32</v>
      </c>
      <c r="D15" s="68"/>
      <c r="E15" s="10">
        <v>0</v>
      </c>
      <c r="F15" s="68"/>
      <c r="G15" s="10">
        <v>0</v>
      </c>
      <c r="H15" s="68"/>
      <c r="I15" s="10">
        <f t="shared" si="0"/>
        <v>-5739.32</v>
      </c>
    </row>
    <row r="16" spans="1:9" ht="16.5" customHeight="1">
      <c r="A16" s="24" t="s">
        <v>134</v>
      </c>
      <c r="C16" s="61">
        <f>-324345.7+345100</f>
        <v>20754.299999999988</v>
      </c>
      <c r="E16" s="10">
        <f>+'General FFCF'!F10</f>
        <v>11116.4</v>
      </c>
      <c r="G16" s="10">
        <f>-'General FFCF'!F36</f>
        <v>-31850.66</v>
      </c>
      <c r="I16" s="10">
        <f t="shared" si="0"/>
        <v>20.039999999989959</v>
      </c>
    </row>
    <row r="17" spans="1:9" ht="16.5" customHeight="1">
      <c r="A17" s="24" t="s">
        <v>135</v>
      </c>
      <c r="C17" s="61">
        <f>356110.09-345100</f>
        <v>11010.090000000026</v>
      </c>
      <c r="D17" s="68"/>
      <c r="E17" s="10">
        <f>+KFCF!F10</f>
        <v>156871</v>
      </c>
      <c r="F17" s="68"/>
      <c r="G17" s="10">
        <f>-KFCF!F39</f>
        <v>-156670.54</v>
      </c>
      <c r="H17" s="68"/>
      <c r="I17" s="10">
        <f t="shared" si="0"/>
        <v>11210.550000000017</v>
      </c>
    </row>
    <row r="18" spans="1:9" ht="16.5" customHeight="1">
      <c r="A18" s="24" t="s">
        <v>67</v>
      </c>
      <c r="C18" s="61">
        <v>230.31999999999971</v>
      </c>
      <c r="D18" s="68"/>
      <c r="E18" s="10">
        <f>'Ptr in Focus'!E6</f>
        <v>0</v>
      </c>
      <c r="F18" s="68"/>
      <c r="G18" s="10">
        <f>-'Ptr in Focus'!E15</f>
        <v>-230.02</v>
      </c>
      <c r="H18" s="68"/>
      <c r="I18" s="10">
        <f t="shared" si="0"/>
        <v>0.29999999999969873</v>
      </c>
    </row>
    <row r="19" spans="1:9" ht="16.5" customHeight="1">
      <c r="A19" s="24" t="s">
        <v>66</v>
      </c>
      <c r="C19" s="61">
        <f>1664.75+81.66</f>
        <v>1746.41</v>
      </c>
      <c r="D19" s="68"/>
      <c r="E19" s="10">
        <f>'Sleeping Bag Project'!E5</f>
        <v>0</v>
      </c>
      <c r="F19" s="68"/>
      <c r="G19" s="10">
        <f>-'Sleeping Bag Project'!E10</f>
        <v>-964.17</v>
      </c>
      <c r="H19" s="68"/>
      <c r="I19" s="10">
        <f t="shared" si="0"/>
        <v>782.24000000000012</v>
      </c>
    </row>
    <row r="20" spans="1:9" ht="28.5" customHeight="1" thickBot="1">
      <c r="A20" s="25" t="s">
        <v>25</v>
      </c>
      <c r="B20" s="66" t="s">
        <v>17</v>
      </c>
      <c r="C20" s="20">
        <f>SUM(C13:C19)</f>
        <v>61350.020000000019</v>
      </c>
      <c r="D20" s="66" t="s">
        <v>17</v>
      </c>
      <c r="E20" s="20">
        <f>SUM(E13:E19)</f>
        <v>181686.44</v>
      </c>
      <c r="F20" s="66" t="s">
        <v>17</v>
      </c>
      <c r="G20" s="20">
        <f>SUM(G13:G19)</f>
        <v>-202905.13</v>
      </c>
      <c r="H20" s="66" t="s">
        <v>17</v>
      </c>
      <c r="I20" s="20">
        <f>SUM(I13:I19)</f>
        <v>40131.330000000009</v>
      </c>
    </row>
    <row r="21" spans="1:9" ht="17.100000000000001" customHeight="1" thickTop="1"/>
    <row r="22" spans="1:9" ht="17.100000000000001" customHeight="1"/>
    <row r="23" spans="1:9" ht="17.100000000000001" customHeight="1"/>
    <row r="24" spans="1:9" ht="17.100000000000001" customHeight="1"/>
    <row r="25" spans="1:9" ht="17.100000000000001" customHeight="1">
      <c r="A25" s="25" t="s">
        <v>133</v>
      </c>
      <c r="C25" s="2" t="s">
        <v>136</v>
      </c>
    </row>
    <row r="26" spans="1:9" ht="17.100000000000001" customHeight="1">
      <c r="C26" s="2" t="s">
        <v>137</v>
      </c>
    </row>
    <row r="27" spans="1:9" ht="17.100000000000001" customHeight="1">
      <c r="C27" s="2" t="s">
        <v>138</v>
      </c>
    </row>
    <row r="28" spans="1:9">
      <c r="D28" s="69"/>
      <c r="E28" s="19"/>
      <c r="F28" s="69"/>
      <c r="G28" s="21"/>
      <c r="H28" s="23"/>
    </row>
    <row r="29" spans="1:9">
      <c r="C29" s="19"/>
      <c r="D29" s="69"/>
      <c r="E29" s="19"/>
      <c r="F29" s="69"/>
      <c r="G29" s="21"/>
      <c r="H29" s="23"/>
    </row>
    <row r="30" spans="1:9">
      <c r="C30" s="19"/>
      <c r="D30" s="69"/>
      <c r="E30" s="19"/>
      <c r="F30" s="69"/>
      <c r="G30" s="19"/>
      <c r="H30" s="69"/>
    </row>
    <row r="32" spans="1:9">
      <c r="A32" s="19"/>
      <c r="B32" s="69"/>
      <c r="C32" s="19"/>
      <c r="D32" s="69"/>
      <c r="E32" s="19"/>
      <c r="F32" s="69"/>
      <c r="G32" s="19"/>
      <c r="H32" s="69"/>
    </row>
    <row r="33" spans="1:9">
      <c r="A33" s="19"/>
      <c r="B33" s="69"/>
      <c r="C33" s="19"/>
      <c r="D33" s="69"/>
      <c r="E33" s="19"/>
      <c r="F33" s="69"/>
      <c r="G33" s="19"/>
      <c r="H33" s="69"/>
    </row>
    <row r="34" spans="1:9">
      <c r="A34" s="19"/>
      <c r="B34" s="69"/>
      <c r="C34" s="19"/>
      <c r="D34" s="69"/>
      <c r="E34" s="19"/>
      <c r="F34" s="69"/>
      <c r="G34" s="19"/>
      <c r="H34" s="69"/>
    </row>
    <row r="35" spans="1:9">
      <c r="A35" s="19"/>
      <c r="B35" s="69"/>
      <c r="C35" s="19"/>
      <c r="D35" s="69"/>
      <c r="E35" s="19"/>
      <c r="F35" s="69"/>
      <c r="G35" s="19"/>
      <c r="H35" s="69"/>
    </row>
    <row r="36" spans="1:9">
      <c r="A36" s="19"/>
      <c r="B36" s="69"/>
      <c r="C36" s="19"/>
      <c r="D36" s="69"/>
      <c r="E36" s="19"/>
      <c r="F36" s="69"/>
      <c r="G36" s="19"/>
      <c r="H36" s="69"/>
    </row>
    <row r="37" spans="1:9">
      <c r="A37" s="19"/>
      <c r="B37" s="69"/>
      <c r="C37" s="19"/>
      <c r="D37" s="69"/>
      <c r="E37" s="19"/>
      <c r="F37" s="69"/>
      <c r="G37" s="19"/>
      <c r="H37" s="69"/>
    </row>
    <row r="38" spans="1:9">
      <c r="A38" s="19"/>
      <c r="B38" s="69"/>
      <c r="C38" s="19"/>
      <c r="D38" s="69"/>
      <c r="E38" s="19"/>
      <c r="F38" s="69"/>
      <c r="G38" s="19"/>
      <c r="H38" s="69"/>
    </row>
    <row r="39" spans="1:9">
      <c r="A39" s="19"/>
      <c r="B39" s="69"/>
      <c r="C39" s="19"/>
      <c r="D39" s="69"/>
      <c r="E39" s="19"/>
      <c r="F39" s="69"/>
      <c r="G39" s="19"/>
      <c r="H39" s="69"/>
    </row>
    <row r="40" spans="1:9">
      <c r="A40" s="19"/>
      <c r="B40" s="69"/>
      <c r="C40" s="19"/>
      <c r="D40" s="69"/>
      <c r="E40" s="19"/>
      <c r="F40" s="69"/>
      <c r="G40" s="19"/>
      <c r="H40" s="69"/>
    </row>
    <row r="41" spans="1:9">
      <c r="A41" s="19"/>
      <c r="B41" s="69"/>
      <c r="C41" s="19"/>
      <c r="D41" s="69"/>
      <c r="E41" s="19"/>
      <c r="F41" s="69"/>
      <c r="G41" s="19"/>
      <c r="H41" s="69"/>
    </row>
    <row r="42" spans="1:9">
      <c r="A42" s="19"/>
      <c r="B42" s="69"/>
      <c r="C42" s="19"/>
      <c r="D42" s="69"/>
      <c r="E42" s="19"/>
      <c r="F42" s="69"/>
      <c r="G42" s="19"/>
      <c r="H42" s="69"/>
    </row>
    <row r="43" spans="1:9">
      <c r="A43" s="19"/>
      <c r="B43" s="69"/>
      <c r="C43" s="19"/>
      <c r="D43" s="69"/>
      <c r="E43" s="19"/>
      <c r="F43" s="69"/>
      <c r="G43" s="19"/>
      <c r="H43" s="69"/>
    </row>
    <row r="44" spans="1:9">
      <c r="A44" s="19"/>
      <c r="B44" s="69"/>
      <c r="C44" s="19"/>
      <c r="D44" s="69"/>
      <c r="E44" s="19"/>
      <c r="F44" s="69"/>
      <c r="G44" s="19"/>
      <c r="H44" s="69"/>
    </row>
    <row r="45" spans="1:9">
      <c r="A45" s="22"/>
      <c r="B45" s="69"/>
      <c r="C45" s="22"/>
      <c r="D45" s="69"/>
      <c r="E45" s="22"/>
      <c r="F45" s="69"/>
      <c r="G45" s="22"/>
      <c r="H45" s="69"/>
      <c r="I45" s="22"/>
    </row>
    <row r="46" spans="1:9">
      <c r="A46" s="19"/>
      <c r="B46" s="69"/>
      <c r="C46" s="19"/>
      <c r="D46" s="69"/>
      <c r="E46" s="23"/>
      <c r="F46" s="23"/>
      <c r="G46" s="19"/>
      <c r="H46" s="69"/>
    </row>
  </sheetData>
  <sortState ref="A13:K20">
    <sortCondition ref="A13"/>
  </sortState>
  <mergeCells count="3">
    <mergeCell ref="A3:I3"/>
    <mergeCell ref="A2:I2"/>
    <mergeCell ref="A1:I1"/>
  </mergeCells>
  <phoneticPr fontId="13" type="noConversion"/>
  <pageMargins left="0.75" right="0.94" top="0.75" bottom="0.75" header="0" footer="1"/>
  <pageSetup orientation="portrait" r:id="rId1"/>
  <headerFooter alignWithMargins="0">
    <oddFooter>&amp;C&amp;"Times New Roman,Regular"SEE ACCOMPANYING ACCOUNTANT'S COMPILATION REPORT</oddFooter>
  </headerFooter>
</worksheet>
</file>

<file path=xl/worksheets/sheet5.xml><?xml version="1.0" encoding="utf-8"?>
<worksheet xmlns="http://schemas.openxmlformats.org/spreadsheetml/2006/main" xmlns:r="http://schemas.openxmlformats.org/officeDocument/2006/relationships">
  <sheetPr>
    <tabColor rgb="FFFFC000"/>
  </sheetPr>
  <dimension ref="A2:G65"/>
  <sheetViews>
    <sheetView topLeftCell="A13" zoomScaleNormal="100" zoomScaleSheetLayoutView="100" workbookViewId="0">
      <selection activeCell="F24" sqref="F24"/>
    </sheetView>
  </sheetViews>
  <sheetFormatPr defaultRowHeight="12.75"/>
  <cols>
    <col min="1" max="2" width="2.7109375" style="8" customWidth="1"/>
    <col min="3" max="3" width="33.7109375" style="8" customWidth="1"/>
    <col min="4" max="4" width="10.7109375" style="8" customWidth="1"/>
    <col min="5" max="5" width="1.7109375" style="48" customWidth="1"/>
    <col min="6" max="6" width="11.140625" style="3" customWidth="1"/>
    <col min="7" max="16384" width="9.140625" style="2"/>
  </cols>
  <sheetData>
    <row r="2" spans="1:6" ht="15" customHeight="1">
      <c r="A2" s="5"/>
      <c r="B2" s="5" t="s">
        <v>33</v>
      </c>
      <c r="C2" s="5"/>
      <c r="D2" s="5"/>
      <c r="E2" s="41"/>
      <c r="F2" s="9"/>
    </row>
    <row r="3" spans="1:6">
      <c r="A3" s="5"/>
      <c r="B3" s="5"/>
      <c r="C3" s="5" t="s">
        <v>98</v>
      </c>
      <c r="D3" s="5"/>
      <c r="E3" s="41" t="s">
        <v>17</v>
      </c>
      <c r="F3" s="9">
        <f>+'General FFCF'!F5</f>
        <v>444.15</v>
      </c>
    </row>
    <row r="4" spans="1:6">
      <c r="A4" s="5"/>
      <c r="B4" s="5"/>
      <c r="C4" s="5" t="s">
        <v>20</v>
      </c>
      <c r="D4" s="5"/>
      <c r="E4" s="41"/>
      <c r="F4" s="9">
        <f>+'General FFCF'!F7</f>
        <v>7858.5</v>
      </c>
    </row>
    <row r="5" spans="1:6">
      <c r="A5" s="5"/>
      <c r="B5" s="5"/>
      <c r="C5" s="5" t="s">
        <v>68</v>
      </c>
      <c r="D5" s="5"/>
      <c r="E5" s="41"/>
      <c r="F5" s="9">
        <f>+KFCF!F5</f>
        <v>5918</v>
      </c>
    </row>
    <row r="6" spans="1:6">
      <c r="A6" s="5"/>
      <c r="B6" s="5"/>
      <c r="C6" s="5" t="s">
        <v>0</v>
      </c>
      <c r="D6" s="5"/>
      <c r="E6" s="2"/>
      <c r="F6" s="9">
        <f>+'General FFCF'!F8+Ananda!E5+CCMA!E5+'G25 '!E5</f>
        <v>14480.21</v>
      </c>
    </row>
    <row r="7" spans="1:6">
      <c r="A7" s="5"/>
      <c r="B7" s="5"/>
      <c r="C7" s="5" t="s">
        <v>102</v>
      </c>
      <c r="D7" s="5"/>
      <c r="E7" s="2"/>
      <c r="F7" s="9">
        <f>Ananda!E6</f>
        <v>86.7</v>
      </c>
    </row>
    <row r="8" spans="1:6">
      <c r="A8" s="5"/>
      <c r="B8" s="5"/>
      <c r="C8" s="5" t="s">
        <v>63</v>
      </c>
      <c r="D8" s="5"/>
      <c r="E8" s="41"/>
      <c r="F8" s="9">
        <f>+KFCF!F6</f>
        <v>5708.55</v>
      </c>
    </row>
    <row r="9" spans="1:6">
      <c r="A9" s="5"/>
      <c r="B9" s="5"/>
      <c r="C9" s="5" t="s">
        <v>110</v>
      </c>
      <c r="D9" s="5"/>
      <c r="E9" s="41"/>
      <c r="F9" s="9">
        <f>CCMA!E6</f>
        <v>1500</v>
      </c>
    </row>
    <row r="10" spans="1:6">
      <c r="A10" s="5"/>
      <c r="B10" s="5"/>
      <c r="C10" s="5" t="s">
        <v>3</v>
      </c>
      <c r="D10" s="5"/>
      <c r="E10" s="41"/>
      <c r="F10" s="9">
        <f>Ananda!E7+'General FFCF'!F6</f>
        <v>63.879999999999995</v>
      </c>
    </row>
    <row r="11" spans="1:6">
      <c r="A11" s="5"/>
      <c r="B11" s="5"/>
      <c r="C11" s="5" t="s">
        <v>69</v>
      </c>
      <c r="D11" s="5"/>
      <c r="E11" s="41"/>
      <c r="F11" s="9">
        <f>+KFCF!F7</f>
        <v>539.75</v>
      </c>
    </row>
    <row r="12" spans="1:6">
      <c r="A12" s="5"/>
      <c r="B12" s="5"/>
      <c r="C12" s="5" t="s">
        <v>70</v>
      </c>
      <c r="D12" s="5"/>
      <c r="E12" s="41"/>
      <c r="F12" s="9">
        <f>+KFCF!F8</f>
        <v>3400</v>
      </c>
    </row>
    <row r="13" spans="1:6">
      <c r="A13" s="5"/>
      <c r="B13" s="5"/>
      <c r="C13" s="5" t="s">
        <v>2</v>
      </c>
      <c r="D13" s="5"/>
      <c r="E13" s="41"/>
      <c r="F13" s="9">
        <f>+KFCF!F9+'General FFCF'!F9</f>
        <v>141686.70000000001</v>
      </c>
    </row>
    <row r="14" spans="1:6" ht="15" customHeight="1">
      <c r="A14" s="5"/>
      <c r="B14" s="5" t="s">
        <v>34</v>
      </c>
      <c r="C14" s="5"/>
      <c r="D14" s="5"/>
      <c r="E14" s="41"/>
      <c r="F14" s="12">
        <f>ROUND(SUM(F3:F13),5)</f>
        <v>181686.44</v>
      </c>
    </row>
    <row r="15" spans="1:6" ht="7.5" customHeight="1">
      <c r="A15" s="5"/>
      <c r="B15" s="5"/>
      <c r="C15" s="5"/>
      <c r="D15" s="5"/>
      <c r="E15" s="41"/>
      <c r="F15" s="9"/>
    </row>
    <row r="16" spans="1:6" ht="13.5" customHeight="1">
      <c r="A16" s="5"/>
      <c r="B16" s="5" t="s">
        <v>39</v>
      </c>
      <c r="C16" s="5"/>
      <c r="D16" s="5"/>
      <c r="E16" s="41"/>
      <c r="F16" s="9"/>
    </row>
    <row r="17" spans="1:7" hidden="1">
      <c r="A17" s="5"/>
      <c r="B17" s="5"/>
      <c r="C17" s="5" t="s">
        <v>98</v>
      </c>
      <c r="D17" s="5"/>
      <c r="E17" s="41"/>
      <c r="F17" s="9">
        <f>+Ananda!E14</f>
        <v>0</v>
      </c>
    </row>
    <row r="18" spans="1:7">
      <c r="A18" s="5"/>
      <c r="B18" s="5"/>
      <c r="C18" s="5" t="s">
        <v>5</v>
      </c>
      <c r="D18" s="5"/>
      <c r="E18" s="41"/>
      <c r="F18" s="9">
        <f>+KFCF!F13</f>
        <v>1303</v>
      </c>
    </row>
    <row r="19" spans="1:7">
      <c r="A19" s="5"/>
      <c r="B19" s="5"/>
      <c r="C19" s="5" t="s">
        <v>4</v>
      </c>
      <c r="D19" s="5"/>
      <c r="E19" s="41"/>
      <c r="F19" s="9">
        <f>+'General FFCF'!F14+KFCF!F14+Ananda!E12</f>
        <v>911.30000000000007</v>
      </c>
    </row>
    <row r="20" spans="1:7">
      <c r="A20" s="5"/>
      <c r="B20" s="5"/>
      <c r="C20" s="5" t="s">
        <v>20</v>
      </c>
      <c r="D20" s="5"/>
      <c r="E20" s="41"/>
      <c r="F20" s="9">
        <f>+'General FFCF'!F15</f>
        <v>6333.61</v>
      </c>
    </row>
    <row r="21" spans="1:7">
      <c r="A21" s="5"/>
      <c r="B21" s="5"/>
      <c r="C21" s="5" t="s">
        <v>9</v>
      </c>
      <c r="D21" s="5"/>
      <c r="E21" s="41"/>
      <c r="F21" s="9">
        <f>+'General FFCF'!F16+KFCF!F15</f>
        <v>6361</v>
      </c>
    </row>
    <row r="22" spans="1:7">
      <c r="A22" s="5"/>
      <c r="B22" s="5"/>
      <c r="C22" s="5" t="s">
        <v>76</v>
      </c>
      <c r="D22" s="5"/>
      <c r="E22" s="41"/>
      <c r="F22" s="9">
        <f>'General FFCF'!F17</f>
        <v>1376.12</v>
      </c>
    </row>
    <row r="23" spans="1:7" hidden="1">
      <c r="A23" s="5"/>
      <c r="B23" s="5"/>
      <c r="C23" s="5" t="s">
        <v>104</v>
      </c>
      <c r="D23" s="5"/>
      <c r="E23" s="41"/>
      <c r="F23" s="9">
        <f>+KFCF!F16</f>
        <v>0</v>
      </c>
    </row>
    <row r="24" spans="1:7">
      <c r="A24" s="5"/>
      <c r="B24" s="5"/>
      <c r="C24" s="5" t="s">
        <v>63</v>
      </c>
      <c r="D24" s="5"/>
      <c r="E24" s="41"/>
      <c r="F24" s="9">
        <f>+KFCF!F17+CCMA!E12</f>
        <v>3937.06</v>
      </c>
    </row>
    <row r="25" spans="1:7">
      <c r="A25" s="5"/>
      <c r="B25" s="5"/>
      <c r="C25" s="5" t="s">
        <v>6</v>
      </c>
      <c r="D25" s="40"/>
      <c r="E25" s="41"/>
      <c r="F25" s="9">
        <f>+'General FFCF'!F18+KFCF!F18</f>
        <v>8202</v>
      </c>
      <c r="G25" s="9"/>
    </row>
    <row r="26" spans="1:7">
      <c r="A26" s="5"/>
      <c r="B26" s="5"/>
      <c r="C26" s="5" t="s">
        <v>73</v>
      </c>
      <c r="D26" s="40"/>
      <c r="E26" s="41"/>
      <c r="F26" s="9">
        <f>+KFCF!F19</f>
        <v>164.34</v>
      </c>
    </row>
    <row r="27" spans="1:7" hidden="1">
      <c r="A27" s="5"/>
      <c r="B27" s="5"/>
      <c r="C27" s="5" t="s">
        <v>7</v>
      </c>
      <c r="D27" s="40"/>
      <c r="E27" s="41"/>
      <c r="F27" s="9"/>
    </row>
    <row r="28" spans="1:7">
      <c r="A28" s="5"/>
      <c r="B28" s="5"/>
      <c r="C28" s="5" t="s">
        <v>27</v>
      </c>
      <c r="D28" s="40"/>
      <c r="E28" s="41"/>
      <c r="F28" s="9">
        <f>+'General FFCF'!F19+KFCF!F21+CCMA!E11+'Ptr in Focus'!E12</f>
        <v>2599.1800000000003</v>
      </c>
    </row>
    <row r="29" spans="1:7">
      <c r="A29" s="5"/>
      <c r="B29" s="5"/>
      <c r="C29" s="5" t="s">
        <v>57</v>
      </c>
      <c r="D29" s="40"/>
      <c r="E29" s="41"/>
      <c r="F29" s="9"/>
    </row>
    <row r="30" spans="1:7">
      <c r="A30" s="5"/>
      <c r="B30" s="41"/>
      <c r="C30" s="51" t="s">
        <v>77</v>
      </c>
      <c r="D30" s="9">
        <f>+'General FFCF'!D21+KFCF!D23</f>
        <v>11201.529999999999</v>
      </c>
      <c r="E30" s="41"/>
    </row>
    <row r="31" spans="1:7">
      <c r="A31" s="5"/>
      <c r="B31" s="41"/>
      <c r="C31" s="51" t="s">
        <v>78</v>
      </c>
      <c r="D31" s="11">
        <f>+'General FFCF'!D22+KFCF!D24</f>
        <v>5257.67</v>
      </c>
      <c r="E31" s="41"/>
      <c r="F31" s="9"/>
    </row>
    <row r="32" spans="1:7">
      <c r="A32" s="5"/>
      <c r="B32" s="41"/>
      <c r="C32" s="51" t="s">
        <v>79</v>
      </c>
      <c r="D32" s="50">
        <f>+'General FFCF'!D23+KFCF!D25</f>
        <v>57190.080000000002</v>
      </c>
      <c r="E32" s="41"/>
      <c r="F32" s="9"/>
    </row>
    <row r="33" spans="1:7">
      <c r="A33" s="5"/>
      <c r="B33" s="41"/>
      <c r="C33" s="51" t="s">
        <v>80</v>
      </c>
      <c r="D33" s="49">
        <f>+'General FFCF'!D24+KFCF!D26</f>
        <v>1241.8200000000002</v>
      </c>
      <c r="E33" s="41"/>
      <c r="F33" s="9"/>
    </row>
    <row r="34" spans="1:7">
      <c r="A34" s="5"/>
      <c r="B34" s="41"/>
      <c r="C34" s="5" t="s">
        <v>58</v>
      </c>
      <c r="D34" s="9"/>
      <c r="E34" s="41"/>
      <c r="F34" s="9">
        <f>SUM(D30:D33)</f>
        <v>74891.100000000006</v>
      </c>
    </row>
    <row r="35" spans="1:7">
      <c r="A35" s="5"/>
      <c r="B35" s="5"/>
      <c r="C35" s="5" t="s">
        <v>115</v>
      </c>
      <c r="D35" s="40"/>
      <c r="E35" s="41"/>
      <c r="F35" s="9">
        <f>+'General FFCF'!F26+KFCF!F28+CCMA!E13</f>
        <v>2347.21</v>
      </c>
    </row>
    <row r="36" spans="1:7">
      <c r="A36" s="5"/>
      <c r="B36" s="5"/>
      <c r="C36" s="5" t="s">
        <v>87</v>
      </c>
      <c r="D36" s="40"/>
      <c r="E36" s="41"/>
      <c r="F36" s="9">
        <f>+'General FFCF'!F27+KFCF!F29</f>
        <v>416.03</v>
      </c>
    </row>
    <row r="37" spans="1:7">
      <c r="A37" s="5"/>
      <c r="B37" s="5"/>
      <c r="C37" s="5" t="s">
        <v>95</v>
      </c>
      <c r="D37" s="40"/>
      <c r="E37" s="41"/>
      <c r="F37" s="9">
        <f>+'General FFCF'!F28+KFCF!F30</f>
        <v>14766.16</v>
      </c>
    </row>
    <row r="38" spans="1:7">
      <c r="A38" s="5"/>
      <c r="B38" s="5"/>
      <c r="C38" s="5" t="s">
        <v>10</v>
      </c>
      <c r="D38" s="40"/>
      <c r="E38" s="41"/>
      <c r="F38" s="9">
        <f>+'General FFCF'!F29+KFCF!F31</f>
        <v>17766.560000000001</v>
      </c>
    </row>
    <row r="39" spans="1:7">
      <c r="A39" s="5"/>
      <c r="B39" s="5"/>
      <c r="C39" s="5" t="s">
        <v>64</v>
      </c>
      <c r="D39" s="40"/>
      <c r="E39" s="41"/>
      <c r="F39" s="9">
        <f>+'General FFCF'!F30+KFCF!F32</f>
        <v>1270.74</v>
      </c>
    </row>
    <row r="40" spans="1:7">
      <c r="A40" s="5"/>
      <c r="B40" s="5"/>
      <c r="C40" s="5" t="s">
        <v>71</v>
      </c>
      <c r="D40" s="40"/>
      <c r="E40" s="41"/>
      <c r="F40" s="9">
        <f>+'General FFCF'!F31+KFCF!F33</f>
        <v>318.21000000000004</v>
      </c>
    </row>
    <row r="41" spans="1:7">
      <c r="A41" s="5"/>
      <c r="B41" s="5"/>
      <c r="C41" s="5" t="s">
        <v>105</v>
      </c>
      <c r="D41" s="40"/>
      <c r="E41" s="41"/>
      <c r="F41" s="9">
        <f>+KFCF!F34+KFCF!F20</f>
        <v>20101</v>
      </c>
    </row>
    <row r="42" spans="1:7">
      <c r="A42" s="5"/>
      <c r="B42" s="5"/>
      <c r="C42" s="5" t="s">
        <v>101</v>
      </c>
      <c r="D42" s="40"/>
      <c r="E42" s="41"/>
      <c r="F42" s="9">
        <f>Ananda!E15</f>
        <v>10000</v>
      </c>
      <c r="G42" s="9"/>
    </row>
    <row r="43" spans="1:7">
      <c r="A43" s="5"/>
      <c r="B43" s="5"/>
      <c r="C43" s="5" t="s">
        <v>12</v>
      </c>
      <c r="D43" s="40"/>
      <c r="E43" s="41"/>
      <c r="F43" s="9">
        <f>+'General FFCF'!F32+KFCF!F35+'Ptr in Focus'!E13+CCMA!E14+'Sleeping Bag Project'!E9</f>
        <v>9192.57</v>
      </c>
    </row>
    <row r="44" spans="1:7">
      <c r="A44" s="5"/>
      <c r="B44" s="5"/>
      <c r="C44" s="5" t="s">
        <v>92</v>
      </c>
      <c r="D44" s="40"/>
      <c r="E44" s="41"/>
      <c r="F44" s="9">
        <f>+'General FFCF'!F33+KFCF!F36</f>
        <v>5681.63</v>
      </c>
    </row>
    <row r="45" spans="1:7">
      <c r="A45" s="5"/>
      <c r="B45" s="5"/>
      <c r="C45" s="5" t="s">
        <v>11</v>
      </c>
      <c r="D45" s="40"/>
      <c r="E45" s="41"/>
      <c r="F45" s="11">
        <f>+KFCF!F37+CCMA!E15+'General FFCF'!F34</f>
        <v>5294.4000000000005</v>
      </c>
    </row>
    <row r="46" spans="1:7">
      <c r="A46" s="5"/>
      <c r="B46" s="5"/>
      <c r="C46" s="5" t="s">
        <v>114</v>
      </c>
      <c r="D46" s="40"/>
      <c r="E46" s="41"/>
      <c r="F46" s="11">
        <f>+CCMA!E16</f>
        <v>400</v>
      </c>
    </row>
    <row r="47" spans="1:7">
      <c r="A47" s="5"/>
      <c r="B47" s="5"/>
      <c r="C47" s="5" t="s">
        <v>72</v>
      </c>
      <c r="D47" s="40"/>
      <c r="E47" s="41"/>
      <c r="F47" s="9">
        <f>+'General FFCF'!F35+KFCF!F38</f>
        <v>9271.9100000000017</v>
      </c>
    </row>
    <row r="48" spans="1:7" ht="16.5" customHeight="1">
      <c r="A48" s="5"/>
      <c r="B48" s="5" t="s">
        <v>40</v>
      </c>
      <c r="C48" s="5"/>
      <c r="D48" s="40"/>
      <c r="E48" s="41"/>
      <c r="F48" s="12">
        <f>ROUND(SUM(F16:F47),5)</f>
        <v>202905.13</v>
      </c>
      <c r="G48" s="10"/>
    </row>
    <row r="49" spans="1:7" ht="7.5" customHeight="1">
      <c r="A49" s="5"/>
      <c r="B49" s="5"/>
      <c r="C49" s="5"/>
      <c r="D49" s="40"/>
      <c r="E49" s="41"/>
      <c r="F49" s="11"/>
      <c r="G49" s="10"/>
    </row>
    <row r="50" spans="1:7" s="7" customFormat="1">
      <c r="A50" s="5" t="s">
        <v>35</v>
      </c>
      <c r="B50" s="5"/>
      <c r="C50" s="5"/>
      <c r="D50" s="40"/>
      <c r="E50" s="41"/>
      <c r="F50" s="11">
        <f>ROUND(F14-F48,5)</f>
        <v>-21218.69</v>
      </c>
    </row>
    <row r="51" spans="1:7">
      <c r="A51" s="8" t="s">
        <v>36</v>
      </c>
      <c r="D51" s="40"/>
      <c r="F51" s="10">
        <f>61350.02</f>
        <v>61350.02</v>
      </c>
    </row>
    <row r="52" spans="1:7" ht="14.25" customHeight="1" thickBot="1">
      <c r="A52" s="8" t="s">
        <v>37</v>
      </c>
      <c r="D52" s="40"/>
      <c r="E52" s="41" t="s">
        <v>17</v>
      </c>
      <c r="F52" s="20">
        <f>SUM(F50:F51)</f>
        <v>40131.33</v>
      </c>
      <c r="G52" s="10"/>
    </row>
    <row r="53" spans="1:7" ht="13.5" thickTop="1">
      <c r="D53" s="40"/>
      <c r="F53" s="10"/>
    </row>
    <row r="54" spans="1:7">
      <c r="D54" s="40"/>
      <c r="F54" s="10"/>
    </row>
    <row r="55" spans="1:7">
      <c r="D55" s="40"/>
      <c r="F55" s="10"/>
    </row>
    <row r="56" spans="1:7">
      <c r="D56" s="40"/>
      <c r="F56" s="10"/>
    </row>
    <row r="57" spans="1:7">
      <c r="D57" s="40"/>
      <c r="F57" s="10"/>
    </row>
    <row r="58" spans="1:7">
      <c r="D58" s="40"/>
      <c r="F58" s="10"/>
    </row>
    <row r="59" spans="1:7">
      <c r="D59" s="40"/>
      <c r="F59" s="10"/>
    </row>
    <row r="60" spans="1:7">
      <c r="F60" s="10"/>
    </row>
    <row r="61" spans="1:7">
      <c r="F61" s="10"/>
    </row>
    <row r="62" spans="1:7">
      <c r="F62" s="10"/>
    </row>
    <row r="63" spans="1:7">
      <c r="F63" s="10"/>
    </row>
    <row r="64" spans="1:7">
      <c r="F64" s="10"/>
    </row>
    <row r="65" spans="6:6">
      <c r="F65" s="10"/>
    </row>
  </sheetData>
  <phoneticPr fontId="13" type="noConversion"/>
  <printOptions horizontalCentered="1"/>
  <pageMargins left="0.75" right="0.75" top="1.25" bottom="0.25" header="0.5" footer="0.5"/>
  <pageSetup scale="93" orientation="portrait" horizontalDpi="300" verticalDpi="300" r:id="rId1"/>
  <headerFooter scaleWithDoc="0" alignWithMargins="0">
    <oddHeader>&amp;C&amp;"Times New Roman,Bold"&amp;14Fresno Free College Foundation&amp;9
&amp;10Statement of Revenues, Expenses, and Other Changes in Net Assets -  Cash Basis
Combined Operations
 For the Year Ended August 31, 2012</oddHeader>
    <oddFooter>&amp;C&amp;"Times New Roman,Regular"SEE ACCOMPANYING ACCOUNTANT'S COMPILATION REPORT</oddFooter>
  </headerFooter>
</worksheet>
</file>

<file path=xl/worksheets/sheet6.xml><?xml version="1.0" encoding="utf-8"?>
<worksheet xmlns="http://schemas.openxmlformats.org/spreadsheetml/2006/main" xmlns:r="http://schemas.openxmlformats.org/officeDocument/2006/relationships">
  <dimension ref="A2:F28"/>
  <sheetViews>
    <sheetView zoomScaleNormal="100" workbookViewId="0">
      <selection activeCell="H11" sqref="H11"/>
    </sheetView>
  </sheetViews>
  <sheetFormatPr defaultRowHeight="12.75"/>
  <cols>
    <col min="1" max="2" width="3" style="8" customWidth="1"/>
    <col min="3" max="3" width="33.5703125" style="8" customWidth="1"/>
    <col min="4" max="4" width="1.85546875" style="54" bestFit="1" customWidth="1"/>
    <col min="5" max="5" width="9.7109375" style="3" customWidth="1"/>
    <col min="6" max="16384" width="9.140625" style="2"/>
  </cols>
  <sheetData>
    <row r="2" spans="1:6" ht="12.75" customHeight="1">
      <c r="B2" s="39"/>
    </row>
    <row r="3" spans="1:6" s="1" customFormat="1">
      <c r="A3" s="4"/>
      <c r="B3" s="4"/>
      <c r="C3" s="4"/>
      <c r="D3" s="53"/>
      <c r="E3" s="42"/>
    </row>
    <row r="4" spans="1:6">
      <c r="A4" s="5"/>
      <c r="B4" s="5" t="s">
        <v>33</v>
      </c>
      <c r="C4" s="5"/>
      <c r="D4" s="53"/>
      <c r="E4" s="9"/>
    </row>
    <row r="5" spans="1:6">
      <c r="A5" s="5"/>
      <c r="B5" s="5"/>
      <c r="C5" s="5" t="s">
        <v>0</v>
      </c>
      <c r="D5" s="53" t="s">
        <v>17</v>
      </c>
      <c r="E5" s="11">
        <f>10200</f>
        <v>10200</v>
      </c>
    </row>
    <row r="6" spans="1:6">
      <c r="A6" s="5"/>
      <c r="B6" s="5"/>
      <c r="C6" s="5" t="s">
        <v>102</v>
      </c>
      <c r="D6" s="53"/>
      <c r="E6" s="11">
        <f>86.7</f>
        <v>86.7</v>
      </c>
    </row>
    <row r="7" spans="1:6">
      <c r="A7" s="5"/>
      <c r="B7" s="5"/>
      <c r="C7" s="5" t="s">
        <v>81</v>
      </c>
      <c r="D7" s="53"/>
      <c r="E7" s="11">
        <f>12.34</f>
        <v>12.34</v>
      </c>
    </row>
    <row r="8" spans="1:6" ht="15" customHeight="1">
      <c r="A8" s="5"/>
      <c r="B8" s="5" t="s">
        <v>34</v>
      </c>
      <c r="C8" s="5"/>
      <c r="D8" s="53"/>
      <c r="E8" s="12">
        <f>ROUND(SUM(E4:E7),5)</f>
        <v>10299.040000000001</v>
      </c>
    </row>
    <row r="9" spans="1:6">
      <c r="A9" s="5"/>
      <c r="B9" s="5"/>
      <c r="C9" s="5"/>
      <c r="D9" s="53"/>
      <c r="E9" s="9"/>
    </row>
    <row r="10" spans="1:6">
      <c r="A10" s="5"/>
      <c r="B10" s="5"/>
      <c r="C10" s="5"/>
      <c r="D10" s="53"/>
      <c r="E10" s="9"/>
    </row>
    <row r="11" spans="1:6" ht="25.5" customHeight="1">
      <c r="A11" s="5"/>
      <c r="B11" s="5" t="s">
        <v>39</v>
      </c>
      <c r="C11" s="5"/>
      <c r="D11" s="53"/>
      <c r="E11" s="9"/>
    </row>
    <row r="12" spans="1:6">
      <c r="A12" s="5"/>
      <c r="B12" s="5"/>
      <c r="C12" s="5" t="s">
        <v>4</v>
      </c>
      <c r="D12" s="53"/>
      <c r="E12" s="9">
        <v>45</v>
      </c>
    </row>
    <row r="13" spans="1:6" hidden="1">
      <c r="A13" s="5"/>
      <c r="B13" s="5"/>
      <c r="C13" s="5" t="s">
        <v>27</v>
      </c>
      <c r="D13" s="53"/>
      <c r="E13" s="11"/>
      <c r="F13" s="19"/>
    </row>
    <row r="14" spans="1:6" hidden="1">
      <c r="A14" s="5"/>
      <c r="B14" s="5"/>
      <c r="C14" s="5" t="s">
        <v>95</v>
      </c>
      <c r="D14" s="53"/>
      <c r="E14" s="11"/>
      <c r="F14" s="19"/>
    </row>
    <row r="15" spans="1:6">
      <c r="A15" s="5"/>
      <c r="B15" s="5"/>
      <c r="C15" s="5" t="s">
        <v>19</v>
      </c>
      <c r="D15" s="53"/>
      <c r="E15" s="11">
        <v>10000</v>
      </c>
      <c r="F15" s="19"/>
    </row>
    <row r="16" spans="1:6" ht="15.75" customHeight="1">
      <c r="A16" s="5"/>
      <c r="B16" s="5" t="s">
        <v>40</v>
      </c>
      <c r="C16" s="5"/>
      <c r="D16" s="53"/>
      <c r="E16" s="12">
        <f>ROUND(SUM(E12:E15),5)</f>
        <v>10045</v>
      </c>
      <c r="F16" s="11"/>
    </row>
    <row r="17" spans="1:6" ht="15.75" hidden="1" customHeight="1">
      <c r="A17" s="5"/>
      <c r="B17" s="5"/>
      <c r="C17" s="5"/>
      <c r="D17" s="53"/>
      <c r="E17" s="55"/>
      <c r="F17" s="11"/>
    </row>
    <row r="18" spans="1:6" ht="15.75" hidden="1" customHeight="1">
      <c r="A18" s="5"/>
      <c r="B18" s="5" t="s">
        <v>75</v>
      </c>
      <c r="C18" s="5"/>
      <c r="D18" s="53"/>
      <c r="E18" s="14">
        <v>0</v>
      </c>
      <c r="F18" s="11"/>
    </row>
    <row r="19" spans="1:6" ht="15.75" customHeight="1">
      <c r="A19" s="5"/>
      <c r="B19" s="5"/>
      <c r="C19" s="5"/>
      <c r="D19" s="53"/>
      <c r="E19" s="11"/>
      <c r="F19" s="11"/>
    </row>
    <row r="20" spans="1:6" s="7" customFormat="1" ht="25.5" customHeight="1" thickBot="1">
      <c r="A20" s="5" t="s">
        <v>35</v>
      </c>
      <c r="B20" s="5"/>
      <c r="C20" s="5"/>
      <c r="D20" s="53" t="s">
        <v>17</v>
      </c>
      <c r="E20" s="44">
        <f>+E8-E16+E18</f>
        <v>254.04000000000087</v>
      </c>
      <c r="F20" s="11"/>
    </row>
    <row r="21" spans="1:6" ht="13.5" thickTop="1">
      <c r="E21" s="10"/>
      <c r="F21" s="19"/>
    </row>
    <row r="22" spans="1:6">
      <c r="E22" s="10"/>
      <c r="F22" s="19"/>
    </row>
    <row r="23" spans="1:6">
      <c r="E23" s="10"/>
    </row>
    <row r="24" spans="1:6">
      <c r="E24" s="10"/>
    </row>
    <row r="25" spans="1:6">
      <c r="E25" s="10"/>
    </row>
    <row r="26" spans="1:6">
      <c r="E26" s="10"/>
    </row>
    <row r="27" spans="1:6">
      <c r="E27" s="10"/>
    </row>
    <row r="28" spans="1:6">
      <c r="E28" s="10"/>
    </row>
  </sheetData>
  <phoneticPr fontId="13" type="noConversion"/>
  <printOptions horizontalCentered="1"/>
  <pageMargins left="0.75" right="0.75" top="1.75" bottom="0.75" header="0.75" footer="1"/>
  <pageSetup orientation="portrait" horizontalDpi="300" verticalDpi="300" r:id="rId1"/>
  <headerFooter alignWithMargins="0">
    <oddHeader>&amp;C&amp;"Times New Roman,Bold"&amp;14 Fresno Free College Foundation&amp;12
&amp;14 &amp;11Statement of Revenue, Expenses,
and Other Changes in Net Assets - Cash Basis
Ananda Fund&amp;14
&amp;10For the Year Ended August 31, 2012</oddHeader>
    <oddFooter>&amp;C&amp;"Times New Roman,Regular"SEE ACCOMPANYING ACCOUNTANT'S COMPILATION REPORT</oddFooter>
  </headerFooter>
</worksheet>
</file>

<file path=xl/worksheets/sheet7.xml><?xml version="1.0" encoding="utf-8"?>
<worksheet xmlns="http://schemas.openxmlformats.org/spreadsheetml/2006/main" xmlns:r="http://schemas.openxmlformats.org/officeDocument/2006/relationships">
  <dimension ref="C3:O15"/>
  <sheetViews>
    <sheetView workbookViewId="0">
      <selection activeCell="J9" sqref="J9"/>
    </sheetView>
  </sheetViews>
  <sheetFormatPr defaultRowHeight="12.75"/>
  <cols>
    <col min="1" max="2" width="2.7109375" customWidth="1"/>
    <col min="6" max="6" width="2.7109375" customWidth="1"/>
    <col min="7" max="7" width="11.28515625" style="106" bestFit="1" customWidth="1"/>
    <col min="8" max="8" width="8.5703125" style="111" bestFit="1" customWidth="1"/>
    <col min="9" max="9" width="2.7109375" style="106" customWidth="1"/>
    <col min="10" max="10" width="17.5703125" style="106" bestFit="1" customWidth="1"/>
    <col min="11" max="15" width="9.140625" style="106"/>
  </cols>
  <sheetData>
    <row r="3" spans="3:10">
      <c r="C3" s="62" t="s">
        <v>126</v>
      </c>
      <c r="G3" s="106">
        <f>Ananda!E15</f>
        <v>10000</v>
      </c>
    </row>
    <row r="6" spans="3:10">
      <c r="C6" s="62" t="s">
        <v>127</v>
      </c>
      <c r="H6" s="114" t="s">
        <v>125</v>
      </c>
      <c r="J6" s="114" t="s">
        <v>128</v>
      </c>
    </row>
    <row r="7" spans="3:10" ht="8.1" customHeight="1">
      <c r="C7" s="62"/>
      <c r="H7" s="113"/>
    </row>
    <row r="8" spans="3:10">
      <c r="D8" s="62" t="s">
        <v>119</v>
      </c>
      <c r="G8" s="106">
        <v>186400</v>
      </c>
      <c r="H8" s="112">
        <f>G8/$G$15</f>
        <v>0.3430253956569746</v>
      </c>
      <c r="J8" s="106">
        <f>H8*$G$3</f>
        <v>3430.2539565697462</v>
      </c>
    </row>
    <row r="9" spans="3:10">
      <c r="D9" s="62" t="s">
        <v>120</v>
      </c>
      <c r="G9" s="106">
        <v>171000</v>
      </c>
      <c r="H9" s="112">
        <f t="shared" ref="H9:H13" si="0">G9/$G$15</f>
        <v>0.31468531468531469</v>
      </c>
      <c r="J9" s="106">
        <f t="shared" ref="J9:J13" si="1">H9*$G$3</f>
        <v>3146.8531468531469</v>
      </c>
    </row>
    <row r="10" spans="3:10">
      <c r="D10" s="62" t="s">
        <v>121</v>
      </c>
      <c r="G10" s="106">
        <v>40000</v>
      </c>
      <c r="H10" s="112">
        <f t="shared" si="0"/>
        <v>7.3610599926389395E-2</v>
      </c>
      <c r="J10" s="106">
        <f t="shared" si="1"/>
        <v>736.10599926389398</v>
      </c>
    </row>
    <row r="11" spans="3:10">
      <c r="D11" s="62" t="s">
        <v>124</v>
      </c>
      <c r="G11" s="106">
        <v>30000</v>
      </c>
      <c r="H11" s="112">
        <f t="shared" si="0"/>
        <v>5.5207949944792049E-2</v>
      </c>
      <c r="J11" s="106">
        <f t="shared" si="1"/>
        <v>552.07949944792051</v>
      </c>
    </row>
    <row r="12" spans="3:10">
      <c r="D12" s="62" t="s">
        <v>123</v>
      </c>
      <c r="G12" s="106">
        <f>30000+40000</f>
        <v>70000</v>
      </c>
      <c r="H12" s="112">
        <f t="shared" si="0"/>
        <v>0.12881854987118144</v>
      </c>
      <c r="J12" s="106">
        <f t="shared" si="1"/>
        <v>1288.1854987118143</v>
      </c>
    </row>
    <row r="13" spans="3:10">
      <c r="D13" s="62" t="s">
        <v>122</v>
      </c>
      <c r="G13" s="109">
        <f>20000+10000+6000+10000</f>
        <v>46000</v>
      </c>
      <c r="H13" s="115">
        <f t="shared" si="0"/>
        <v>8.4652189915347814E-2</v>
      </c>
      <c r="J13" s="109">
        <f t="shared" si="1"/>
        <v>846.5218991534781</v>
      </c>
    </row>
    <row r="14" spans="3:10">
      <c r="D14" s="62"/>
      <c r="G14" s="110"/>
      <c r="H14" s="112"/>
      <c r="J14" s="110"/>
    </row>
    <row r="15" spans="3:10">
      <c r="G15" s="106">
        <f>SUM(G8:G13)</f>
        <v>543400</v>
      </c>
      <c r="H15" s="111">
        <f>SUM(H8:H13)</f>
        <v>1</v>
      </c>
      <c r="J15" s="106">
        <f>SUM(J8:J13)</f>
        <v>10000</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2:F27"/>
  <sheetViews>
    <sheetView zoomScaleNormal="100" workbookViewId="0">
      <selection activeCell="N40" sqref="N40"/>
    </sheetView>
  </sheetViews>
  <sheetFormatPr defaultRowHeight="12.75"/>
  <cols>
    <col min="1" max="2" width="3" style="8" customWidth="1"/>
    <col min="3" max="3" width="33.5703125" style="8" customWidth="1"/>
    <col min="4" max="4" width="1.85546875" style="54" bestFit="1" customWidth="1"/>
    <col min="5" max="5" width="9.7109375" style="3" customWidth="1"/>
    <col min="6" max="16384" width="9.140625" style="2"/>
  </cols>
  <sheetData>
    <row r="2" spans="1:6" ht="12.75" customHeight="1">
      <c r="B2" s="39"/>
    </row>
    <row r="3" spans="1:6" s="1" customFormat="1">
      <c r="A3" s="4"/>
      <c r="B3" s="4"/>
      <c r="C3" s="4"/>
      <c r="D3" s="53"/>
      <c r="E3" s="42"/>
    </row>
    <row r="4" spans="1:6">
      <c r="A4" s="5"/>
      <c r="B4" s="5" t="s">
        <v>33</v>
      </c>
      <c r="C4" s="5"/>
      <c r="D4" s="53"/>
      <c r="E4" s="9"/>
    </row>
    <row r="5" spans="1:6">
      <c r="A5" s="5"/>
      <c r="B5" s="5"/>
      <c r="C5" s="5" t="s">
        <v>0</v>
      </c>
      <c r="D5" s="53" t="s">
        <v>17</v>
      </c>
      <c r="E5" s="11">
        <f>1900</f>
        <v>1900</v>
      </c>
    </row>
    <row r="6" spans="1:6">
      <c r="A6" s="5"/>
      <c r="B6" s="5"/>
      <c r="C6" s="5" t="s">
        <v>109</v>
      </c>
      <c r="D6" s="53"/>
      <c r="E6" s="11">
        <v>1500</v>
      </c>
    </row>
    <row r="7" spans="1:6" ht="15" customHeight="1">
      <c r="A7" s="5"/>
      <c r="B7" s="5" t="s">
        <v>34</v>
      </c>
      <c r="C7" s="5"/>
      <c r="D7" s="53"/>
      <c r="E7" s="12">
        <f>ROUND(SUM(E4:E6),5)</f>
        <v>3400</v>
      </c>
    </row>
    <row r="8" spans="1:6">
      <c r="A8" s="5"/>
      <c r="B8" s="5"/>
      <c r="C8" s="5"/>
      <c r="D8" s="53"/>
      <c r="E8" s="9"/>
    </row>
    <row r="9" spans="1:6">
      <c r="A9" s="5"/>
      <c r="B9" s="5"/>
      <c r="C9" s="5"/>
      <c r="D9" s="53"/>
      <c r="E9" s="9"/>
    </row>
    <row r="10" spans="1:6" ht="25.5" customHeight="1">
      <c r="A10" s="5"/>
      <c r="B10" s="5" t="s">
        <v>39</v>
      </c>
      <c r="C10" s="5"/>
      <c r="D10" s="53"/>
      <c r="E10" s="9"/>
    </row>
    <row r="11" spans="1:6">
      <c r="A11" s="5"/>
      <c r="B11" s="5"/>
      <c r="C11" s="5" t="s">
        <v>111</v>
      </c>
      <c r="D11" s="53"/>
      <c r="E11" s="9">
        <v>900</v>
      </c>
    </row>
    <row r="12" spans="1:6">
      <c r="A12" s="5"/>
      <c r="B12" s="5"/>
      <c r="C12" s="5" t="s">
        <v>112</v>
      </c>
      <c r="D12" s="53"/>
      <c r="E12" s="11">
        <v>400</v>
      </c>
      <c r="F12" s="19"/>
    </row>
    <row r="13" spans="1:6">
      <c r="A13" s="5"/>
      <c r="B13" s="5"/>
      <c r="C13" s="5" t="s">
        <v>113</v>
      </c>
      <c r="D13" s="53"/>
      <c r="E13" s="11">
        <v>11.05</v>
      </c>
      <c r="F13" s="19"/>
    </row>
    <row r="14" spans="1:6">
      <c r="A14" s="5"/>
      <c r="B14" s="5"/>
      <c r="C14" s="5" t="s">
        <v>12</v>
      </c>
      <c r="D14" s="53"/>
      <c r="E14" s="11">
        <v>140.77000000000001</v>
      </c>
      <c r="F14" s="19"/>
    </row>
    <row r="15" spans="1:6">
      <c r="A15" s="5"/>
      <c r="B15" s="5"/>
      <c r="C15" s="5" t="s">
        <v>97</v>
      </c>
      <c r="D15" s="53"/>
      <c r="E15" s="11">
        <v>1292.92</v>
      </c>
      <c r="F15" s="19"/>
    </row>
    <row r="16" spans="1:6">
      <c r="A16" s="5"/>
      <c r="B16" s="5"/>
      <c r="C16" s="5" t="s">
        <v>114</v>
      </c>
      <c r="D16" s="53"/>
      <c r="E16" s="11">
        <v>400</v>
      </c>
      <c r="F16" s="19"/>
    </row>
    <row r="17" spans="1:6" ht="15.75" customHeight="1">
      <c r="A17" s="5"/>
      <c r="B17" s="5" t="s">
        <v>40</v>
      </c>
      <c r="C17" s="5"/>
      <c r="D17" s="53"/>
      <c r="E17" s="12">
        <f>ROUND(SUM(E11:E16),5)</f>
        <v>3144.74</v>
      </c>
      <c r="F17" s="11"/>
    </row>
    <row r="18" spans="1:6" ht="15.75" customHeight="1">
      <c r="A18" s="5"/>
      <c r="B18" s="5"/>
      <c r="C18" s="5"/>
      <c r="D18" s="53"/>
      <c r="E18" s="55"/>
      <c r="F18" s="11"/>
    </row>
    <row r="19" spans="1:6" s="7" customFormat="1" ht="25.5" customHeight="1" thickBot="1">
      <c r="A19" s="5" t="s">
        <v>35</v>
      </c>
      <c r="B19" s="5"/>
      <c r="C19" s="5"/>
      <c r="D19" s="53" t="s">
        <v>17</v>
      </c>
      <c r="E19" s="44">
        <f>E7-E17</f>
        <v>255.26000000000022</v>
      </c>
      <c r="F19" s="11"/>
    </row>
    <row r="20" spans="1:6" ht="13.5" thickTop="1">
      <c r="E20" s="10"/>
      <c r="F20" s="19"/>
    </row>
    <row r="21" spans="1:6">
      <c r="E21" s="10"/>
      <c r="F21" s="19"/>
    </row>
    <row r="22" spans="1:6">
      <c r="E22" s="10"/>
    </row>
    <row r="23" spans="1:6">
      <c r="E23" s="10"/>
    </row>
    <row r="24" spans="1:6">
      <c r="E24" s="10"/>
    </row>
    <row r="25" spans="1:6">
      <c r="E25" s="10"/>
    </row>
    <row r="26" spans="1:6">
      <c r="E26" s="10"/>
    </row>
    <row r="27" spans="1:6">
      <c r="E27" s="10"/>
    </row>
  </sheetData>
  <printOptions horizontalCentered="1"/>
  <pageMargins left="0.75" right="0.75" top="1.75" bottom="0.75" header="0.75" footer="1"/>
  <pageSetup orientation="portrait" horizontalDpi="300" verticalDpi="300" r:id="rId1"/>
  <headerFooter alignWithMargins="0">
    <oddHeader>&amp;C&amp;"Times New Roman,Bold"&amp;14 Fresno Free College Foundation&amp;12
&amp;14 &amp;11Statement of Revenue, Expenses,
and Other Changes in Net Assets - Cash Basis
Central California Museum of Arts Fund&amp;14
&amp;10For the Year Ended August 31, 2012</oddHeader>
    <oddFooter>&amp;C&amp;"Times New Roman,Regular"SEE ACCOMPANYING ACCOUNTANT'S COMPILATION REPORT</oddFooter>
  </headerFooter>
</worksheet>
</file>

<file path=xl/worksheets/sheet9.xml><?xml version="1.0" encoding="utf-8"?>
<worksheet xmlns="http://schemas.openxmlformats.org/spreadsheetml/2006/main" xmlns:r="http://schemas.openxmlformats.org/officeDocument/2006/relationships">
  <dimension ref="A3:G39"/>
  <sheetViews>
    <sheetView zoomScaleNormal="100" workbookViewId="0">
      <selection activeCell="I35" sqref="I35"/>
    </sheetView>
  </sheetViews>
  <sheetFormatPr defaultRowHeight="12.75"/>
  <cols>
    <col min="1" max="2" width="3" style="8" customWidth="1"/>
    <col min="3" max="3" width="28.85546875" style="8" bestFit="1" customWidth="1"/>
    <col min="4" max="4" width="10.85546875" style="8" customWidth="1"/>
    <col min="5" max="5" width="3" style="54" customWidth="1"/>
    <col min="6" max="6" width="10.85546875" style="3" customWidth="1"/>
    <col min="7" max="16384" width="9.140625" style="2"/>
  </cols>
  <sheetData>
    <row r="3" spans="1:6" s="1" customFormat="1">
      <c r="A3" s="4"/>
      <c r="B3" s="4"/>
      <c r="C3" s="4"/>
      <c r="D3" s="4"/>
      <c r="E3" s="52"/>
      <c r="F3" s="42"/>
    </row>
    <row r="4" spans="1:6" ht="15" customHeight="1">
      <c r="A4" s="5"/>
      <c r="B4" s="5" t="s">
        <v>33</v>
      </c>
      <c r="C4" s="5"/>
      <c r="D4" s="5"/>
      <c r="E4" s="53"/>
      <c r="F4" s="9"/>
    </row>
    <row r="5" spans="1:6">
      <c r="A5" s="5"/>
      <c r="B5" s="5"/>
      <c r="C5" s="5" t="s">
        <v>98</v>
      </c>
      <c r="D5" s="5"/>
      <c r="E5" s="53" t="s">
        <v>17</v>
      </c>
      <c r="F5" s="9">
        <f>444.15</f>
        <v>444.15</v>
      </c>
    </row>
    <row r="6" spans="1:6">
      <c r="A6" s="5"/>
      <c r="B6" s="5"/>
      <c r="C6" s="5" t="s">
        <v>108</v>
      </c>
      <c r="D6" s="5"/>
      <c r="E6" s="53"/>
      <c r="F6" s="9">
        <f>51.54</f>
        <v>51.54</v>
      </c>
    </row>
    <row r="7" spans="1:6">
      <c r="A7" s="5"/>
      <c r="B7" s="5"/>
      <c r="C7" s="5" t="s">
        <v>83</v>
      </c>
      <c r="D7" s="5"/>
      <c r="E7" s="53"/>
      <c r="F7" s="9">
        <f>7858.5</f>
        <v>7858.5</v>
      </c>
    </row>
    <row r="8" spans="1:6">
      <c r="A8" s="5"/>
      <c r="B8" s="5"/>
      <c r="C8" s="5" t="s">
        <v>0</v>
      </c>
      <c r="D8" s="5"/>
      <c r="E8" s="2"/>
      <c r="F8" s="9">
        <f>1004.09+1376.12</f>
        <v>2380.21</v>
      </c>
    </row>
    <row r="9" spans="1:6">
      <c r="A9" s="5"/>
      <c r="B9" s="5"/>
      <c r="C9" s="5" t="s">
        <v>82</v>
      </c>
      <c r="D9" s="5"/>
      <c r="E9" s="53"/>
      <c r="F9" s="9">
        <f>382</f>
        <v>382</v>
      </c>
    </row>
    <row r="10" spans="1:6" ht="15.75" customHeight="1">
      <c r="A10" s="5"/>
      <c r="B10" s="5" t="s">
        <v>34</v>
      </c>
      <c r="C10" s="5"/>
      <c r="D10" s="5"/>
      <c r="E10" s="53"/>
      <c r="F10" s="12">
        <f>ROUND(SUM(F5:F9),5)</f>
        <v>11116.4</v>
      </c>
    </row>
    <row r="11" spans="1:6">
      <c r="A11" s="5"/>
      <c r="B11" s="5"/>
      <c r="C11" s="5"/>
      <c r="D11" s="5"/>
      <c r="E11" s="53"/>
      <c r="F11" s="9"/>
    </row>
    <row r="12" spans="1:6">
      <c r="A12" s="5"/>
      <c r="B12" s="5"/>
      <c r="C12" s="5"/>
      <c r="D12" s="5"/>
      <c r="E12" s="53"/>
      <c r="F12" s="9"/>
    </row>
    <row r="13" spans="1:6" ht="15" customHeight="1">
      <c r="A13" s="5"/>
      <c r="B13" s="5" t="s">
        <v>39</v>
      </c>
      <c r="C13" s="5"/>
      <c r="D13" s="5"/>
      <c r="E13" s="53"/>
      <c r="F13" s="9"/>
    </row>
    <row r="14" spans="1:6">
      <c r="A14" s="5"/>
      <c r="B14" s="5"/>
      <c r="C14" s="5" t="s">
        <v>4</v>
      </c>
      <c r="D14" s="5"/>
      <c r="E14" s="53"/>
      <c r="F14" s="9">
        <f>179.22</f>
        <v>179.22</v>
      </c>
    </row>
    <row r="15" spans="1:6">
      <c r="A15" s="5"/>
      <c r="B15" s="5"/>
      <c r="C15" s="5" t="s">
        <v>83</v>
      </c>
      <c r="D15" s="5"/>
      <c r="E15" s="53"/>
      <c r="F15" s="9">
        <f>6333.61</f>
        <v>6333.61</v>
      </c>
    </row>
    <row r="16" spans="1:6">
      <c r="A16" s="5"/>
      <c r="B16" s="5"/>
      <c r="C16" s="5" t="s">
        <v>9</v>
      </c>
      <c r="D16" s="5"/>
      <c r="E16" s="53"/>
      <c r="F16" s="9">
        <f>1272.16</f>
        <v>1272.1600000000001</v>
      </c>
    </row>
    <row r="17" spans="1:7">
      <c r="A17" s="5"/>
      <c r="B17" s="5"/>
      <c r="C17" s="5" t="s">
        <v>116</v>
      </c>
      <c r="D17" s="5"/>
      <c r="E17" s="53"/>
      <c r="F17" s="9">
        <v>1376.12</v>
      </c>
    </row>
    <row r="18" spans="1:7">
      <c r="A18" s="5"/>
      <c r="B18" s="5"/>
      <c r="C18" s="5" t="s">
        <v>84</v>
      </c>
      <c r="D18" s="5"/>
      <c r="E18" s="53"/>
      <c r="F18" s="9">
        <f>1134.4</f>
        <v>1134.4000000000001</v>
      </c>
      <c r="G18" s="9"/>
    </row>
    <row r="19" spans="1:7">
      <c r="A19" s="5"/>
      <c r="B19" s="5"/>
      <c r="C19" s="5" t="s">
        <v>27</v>
      </c>
      <c r="D19" s="5"/>
      <c r="E19" s="53"/>
      <c r="F19" s="9">
        <f>326.23</f>
        <v>326.23</v>
      </c>
    </row>
    <row r="20" spans="1:7">
      <c r="A20" s="5"/>
      <c r="B20" s="5"/>
      <c r="C20" s="5" t="s">
        <v>57</v>
      </c>
      <c r="D20" s="40"/>
      <c r="E20" s="53"/>
      <c r="F20" s="9"/>
    </row>
    <row r="21" spans="1:7">
      <c r="A21" s="5"/>
      <c r="B21" s="5"/>
      <c r="C21" s="41" t="s">
        <v>59</v>
      </c>
      <c r="D21" s="9">
        <v>2069.81</v>
      </c>
      <c r="E21" s="53"/>
    </row>
    <row r="22" spans="1:7">
      <c r="A22" s="5"/>
      <c r="B22" s="5"/>
      <c r="C22" s="41" t="s">
        <v>60</v>
      </c>
      <c r="D22" s="9">
        <f>680.2</f>
        <v>680.2</v>
      </c>
      <c r="E22" s="53"/>
    </row>
    <row r="23" spans="1:7">
      <c r="A23" s="5"/>
      <c r="B23" s="5"/>
      <c r="C23" s="41" t="s">
        <v>65</v>
      </c>
      <c r="D23" s="9">
        <f>11432.53</f>
        <v>11432.53</v>
      </c>
      <c r="E23" s="53"/>
    </row>
    <row r="24" spans="1:7">
      <c r="A24" s="5"/>
      <c r="B24" s="5"/>
      <c r="C24" s="41" t="s">
        <v>74</v>
      </c>
      <c r="D24" s="14">
        <v>248.36</v>
      </c>
      <c r="E24" s="53"/>
    </row>
    <row r="25" spans="1:7">
      <c r="A25" s="5"/>
      <c r="B25" s="5"/>
      <c r="C25" s="5" t="s">
        <v>85</v>
      </c>
      <c r="D25" s="9"/>
      <c r="E25" s="53"/>
      <c r="F25" s="9">
        <f>SUM(D21:D24)</f>
        <v>14430.900000000001</v>
      </c>
    </row>
    <row r="26" spans="1:7">
      <c r="A26" s="5"/>
      <c r="B26" s="5"/>
      <c r="C26" s="5" t="s">
        <v>86</v>
      </c>
      <c r="D26" s="5"/>
      <c r="E26" s="53"/>
      <c r="F26" s="9">
        <f>744.12</f>
        <v>744.12</v>
      </c>
    </row>
    <row r="27" spans="1:7">
      <c r="A27" s="5"/>
      <c r="B27" s="5"/>
      <c r="C27" s="5" t="s">
        <v>87</v>
      </c>
      <c r="D27" s="5"/>
      <c r="E27" s="53"/>
      <c r="F27" s="9">
        <f>46.07</f>
        <v>46.07</v>
      </c>
    </row>
    <row r="28" spans="1:7">
      <c r="A28" s="5"/>
      <c r="B28" s="5"/>
      <c r="C28" s="5" t="s">
        <v>95</v>
      </c>
      <c r="D28" s="5"/>
      <c r="E28" s="53"/>
      <c r="F28" s="9">
        <f>535</f>
        <v>535</v>
      </c>
    </row>
    <row r="29" spans="1:7">
      <c r="A29" s="5"/>
      <c r="B29" s="5"/>
      <c r="C29" s="5" t="s">
        <v>88</v>
      </c>
      <c r="D29" s="5"/>
      <c r="E29" s="53"/>
      <c r="F29" s="9">
        <f>1604.4</f>
        <v>1604.4</v>
      </c>
    </row>
    <row r="30" spans="1:7">
      <c r="A30" s="5"/>
      <c r="B30" s="5"/>
      <c r="C30" s="5" t="s">
        <v>89</v>
      </c>
      <c r="D30" s="5"/>
      <c r="E30" s="53"/>
      <c r="F30" s="9">
        <f>64.79</f>
        <v>64.790000000000006</v>
      </c>
    </row>
    <row r="31" spans="1:7">
      <c r="A31" s="5"/>
      <c r="B31" s="5"/>
      <c r="C31" s="5" t="s">
        <v>90</v>
      </c>
      <c r="D31" s="5"/>
      <c r="E31" s="53"/>
      <c r="F31" s="9">
        <f>12.04</f>
        <v>12.04</v>
      </c>
    </row>
    <row r="32" spans="1:7">
      <c r="A32" s="5"/>
      <c r="B32" s="5"/>
      <c r="C32" s="5" t="s">
        <v>91</v>
      </c>
      <c r="D32" s="5"/>
      <c r="E32" s="53"/>
      <c r="F32" s="9">
        <f>195.29+1604.53</f>
        <v>1799.82</v>
      </c>
    </row>
    <row r="33" spans="1:7">
      <c r="A33" s="5"/>
      <c r="B33" s="5"/>
      <c r="C33" s="5" t="s">
        <v>92</v>
      </c>
      <c r="D33" s="5"/>
      <c r="E33" s="53"/>
      <c r="F33" s="9">
        <f>594.99</f>
        <v>594.99</v>
      </c>
    </row>
    <row r="34" spans="1:7">
      <c r="A34" s="5"/>
      <c r="B34" s="5"/>
      <c r="C34" s="5" t="s">
        <v>97</v>
      </c>
      <c r="D34" s="5"/>
      <c r="E34" s="53"/>
      <c r="F34" s="9">
        <f>174.02</f>
        <v>174.02</v>
      </c>
    </row>
    <row r="35" spans="1:7">
      <c r="A35" s="5"/>
      <c r="B35" s="5"/>
      <c r="C35" s="5" t="s">
        <v>72</v>
      </c>
      <c r="D35" s="5"/>
      <c r="E35" s="53"/>
      <c r="F35" s="9">
        <f>113.39+945.16+164.22</f>
        <v>1222.77</v>
      </c>
    </row>
    <row r="36" spans="1:7" ht="15" customHeight="1">
      <c r="A36" s="5"/>
      <c r="B36" s="5" t="s">
        <v>40</v>
      </c>
      <c r="C36" s="5"/>
      <c r="D36" s="5"/>
      <c r="E36" s="53"/>
      <c r="F36" s="12">
        <f>ROUND(SUM(F14:F35),5)</f>
        <v>31850.66</v>
      </c>
      <c r="G36" s="10"/>
    </row>
    <row r="37" spans="1:7" ht="15" customHeight="1">
      <c r="A37" s="5"/>
      <c r="B37" s="5"/>
      <c r="C37" s="5"/>
      <c r="D37" s="5"/>
      <c r="E37" s="53"/>
      <c r="F37" s="55"/>
      <c r="G37" s="10"/>
    </row>
    <row r="38" spans="1:7" s="7" customFormat="1" ht="17.25" customHeight="1" thickBot="1">
      <c r="A38" s="5" t="s">
        <v>35</v>
      </c>
      <c r="B38" s="5"/>
      <c r="C38" s="5"/>
      <c r="D38" s="5"/>
      <c r="E38" s="53" t="s">
        <v>17</v>
      </c>
      <c r="F38" s="44">
        <f>ROUND(F10-F36,5)</f>
        <v>-20734.259999999998</v>
      </c>
    </row>
    <row r="39" spans="1:7" ht="13.5" thickTop="1">
      <c r="F39" s="10"/>
    </row>
  </sheetData>
  <phoneticPr fontId="13" type="noConversion"/>
  <printOptions horizontalCentered="1"/>
  <pageMargins left="0.75" right="0.75" top="1.5" bottom="1" header="0.75" footer="0.75"/>
  <pageSetup orientation="portrait" horizontalDpi="300" verticalDpi="300" r:id="rId1"/>
  <headerFooter alignWithMargins="0">
    <oddHeader>&amp;C&amp;"Times New Roman,Bold"&amp;14 Fresno Free College Foundation&amp;"Arial,Bold"&amp;12
&amp;"Times New Roman,Bold"&amp;11Statement of Revenues, Expenses,
and Other Changes in Net Assets - Cash Basis&amp;12
&amp;11General Fund
 &amp;10For the Year Ended August 31, 2012</oddHeader>
    <oddFooter>&amp;C&amp;"Times New Roman,Regular"SEE ACCOMPANYING ACCOUNTANT'S COMPILATION REPORT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Cover</vt:lpstr>
      <vt:lpstr>Opinion ltr</vt:lpstr>
      <vt:lpstr>Bal Sheet 08.31.12</vt:lpstr>
      <vt:lpstr>N1 Fund bal's 08.31.12</vt:lpstr>
      <vt:lpstr>Combined 08.31.12</vt:lpstr>
      <vt:lpstr>Ananda</vt:lpstr>
      <vt:lpstr>AF Allocation</vt:lpstr>
      <vt:lpstr>CCMA</vt:lpstr>
      <vt:lpstr>General FFCF</vt:lpstr>
      <vt:lpstr>KFCF</vt:lpstr>
      <vt:lpstr>G25 </vt:lpstr>
      <vt:lpstr>Ptr in Focus</vt:lpstr>
      <vt:lpstr>Sleeping Bag Project</vt:lpstr>
      <vt:lpstr>'Bal Sheet 08.31.12'!Print_Area</vt:lpstr>
      <vt:lpstr>Cover!Print_Area</vt:lpstr>
      <vt:lpstr>Ananda!Print_Titles</vt:lpstr>
      <vt:lpstr>'Bal Sheet 08.31.12'!Print_Titles</vt:lpstr>
      <vt:lpstr>CCMA!Print_Titles</vt:lpstr>
      <vt:lpstr>'General FFCF'!Print_Titles</vt:lpstr>
      <vt:lpstr>KFCF!Print_Titles</vt:lpstr>
      <vt:lpstr>'Ptr in Focus'!Print_Titles</vt:lpstr>
      <vt:lpstr>'Sleeping Bag Project'!Print_Titles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Trujillo</cp:lastModifiedBy>
  <cp:lastPrinted>2012-12-06T22:41:30Z</cp:lastPrinted>
  <dcterms:created xsi:type="dcterms:W3CDTF">2002-08-02T15:38:06Z</dcterms:created>
  <dcterms:modified xsi:type="dcterms:W3CDTF">2012-12-07T19:14:26Z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1456790285</vt:i4>
  </property>
  <property fmtid="{D5CDD505-2E9C-101B-9397-08002B2CF9AE}" pid="3" name="_NewReviewCycle">
    <vt:lpwstr/>
  </property>
  <property fmtid="{D5CDD505-2E9C-101B-9397-08002B2CF9AE}" pid="4" name="_EmailSubject">
    <vt:lpwstr>FFCF page - Full financial statement</vt:lpwstr>
  </property>
  <property fmtid="{D5CDD505-2E9C-101B-9397-08002B2CF9AE}" pid="5" name="_AuthorEmail">
    <vt:lpwstr>rwithers@kfcf.org</vt:lpwstr>
  </property>
  <property fmtid="{D5CDD505-2E9C-101B-9397-08002B2CF9AE}" pid="6" name="_AuthorEmailDisplayName">
    <vt:lpwstr>Rychard Withers</vt:lpwstr>
  </property>
</Properties>
</file>